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9420" windowHeight="3735" tabRatio="749"/>
  </bookViews>
  <sheets>
    <sheet name="1.16" sheetId="4" r:id="rId1"/>
    <sheet name="1.15" sheetId="3" r:id="rId2"/>
    <sheet name="1.18.2" sheetId="5" r:id="rId3"/>
    <sheet name="расшифровки_2п2017" sheetId="14" r:id="rId4"/>
    <sheet name="расшифровки_2018" sheetId="8" r:id="rId5"/>
    <sheet name="амортизация на 2п17" sheetId="15" r:id="rId6"/>
    <sheet name="амортизация на 18" sheetId="11" r:id="rId7"/>
    <sheet name="налог_имущ_на 18" sheetId="12" r:id="rId8"/>
    <sheet name="Лист1" sheetId="13" state="hidden" r:id="rId9"/>
  </sheets>
  <definedNames>
    <definedName name="_xlnm._FilterDatabase" localSheetId="6" hidden="1">'амортизация на 18'!$B$4:$N$4</definedName>
    <definedName name="_xlnm._FilterDatabase" localSheetId="5" hidden="1">'амортизация на 2п17'!$B$4:$N$4</definedName>
    <definedName name="_xlnm._FilterDatabase" localSheetId="7" hidden="1">'налог_имущ_на 18'!$A$3:$S$3</definedName>
    <definedName name="_xlnm.Print_Area" localSheetId="1">'1.15'!$A$1:$F$68</definedName>
    <definedName name="_xlnm.Print_Area" localSheetId="0">'1.16'!$A$1:$F$47</definedName>
    <definedName name="_xlnm.Print_Area" localSheetId="2">'1.18.2'!$A$1:$F$60</definedName>
    <definedName name="_xlnm.Print_Area" localSheetId="6">'амортизация на 18'!$B$1:$M$59</definedName>
    <definedName name="_xlnm.Print_Area" localSheetId="5">'амортизация на 2п17'!$B$1:$M$59</definedName>
    <definedName name="_xlnm.Print_Area" localSheetId="4">расшифровки_2018!$A$1:$H$47</definedName>
    <definedName name="_xlnm.Print_Area" localSheetId="3">расшифровки_2п2017!$A$1:$H$27</definedName>
  </definedNames>
  <calcPr calcId="144525"/>
</workbook>
</file>

<file path=xl/calcChain.xml><?xml version="1.0" encoding="utf-8"?>
<calcChain xmlns="http://schemas.openxmlformats.org/spreadsheetml/2006/main">
  <c r="E18" i="3" l="1"/>
  <c r="D18" i="3"/>
  <c r="H18" i="3"/>
  <c r="D47" i="5" l="1"/>
  <c r="D48" i="5"/>
  <c r="D49" i="5"/>
  <c r="D50" i="5"/>
  <c r="D18" i="5"/>
  <c r="D17" i="5"/>
  <c r="D16" i="5"/>
  <c r="D14" i="5"/>
  <c r="D13" i="5"/>
  <c r="E15" i="3"/>
  <c r="D15" i="3" s="1"/>
  <c r="D42" i="3"/>
  <c r="D20" i="3"/>
  <c r="I6" i="15"/>
  <c r="I7" i="15"/>
  <c r="I44" i="15" s="1"/>
  <c r="I8" i="15"/>
  <c r="I9" i="15"/>
  <c r="I10" i="15"/>
  <c r="I11" i="15"/>
  <c r="I12" i="15"/>
  <c r="I13" i="15"/>
  <c r="I14" i="15"/>
  <c r="I15" i="15"/>
  <c r="I16" i="15"/>
  <c r="I17" i="15"/>
  <c r="I18" i="15"/>
  <c r="I19" i="15"/>
  <c r="I20" i="15"/>
  <c r="I21" i="15"/>
  <c r="I22" i="15"/>
  <c r="I23" i="15"/>
  <c r="I24" i="15"/>
  <c r="I25" i="15"/>
  <c r="I26" i="15"/>
  <c r="I27" i="15"/>
  <c r="I28" i="15"/>
  <c r="I29" i="15"/>
  <c r="I30" i="15"/>
  <c r="I31" i="15"/>
  <c r="I32" i="15"/>
  <c r="I33" i="15"/>
  <c r="I34" i="15"/>
  <c r="I35" i="15"/>
  <c r="N35" i="15" s="1"/>
  <c r="I36" i="15"/>
  <c r="I37" i="15"/>
  <c r="I38" i="15"/>
  <c r="I39" i="15"/>
  <c r="I40" i="15"/>
  <c r="I41" i="15"/>
  <c r="I42" i="15"/>
  <c r="I43" i="15"/>
  <c r="N43" i="15" s="1"/>
  <c r="I5" i="15"/>
  <c r="H43" i="15"/>
  <c r="H42" i="15"/>
  <c r="H41" i="15"/>
  <c r="H40" i="15"/>
  <c r="H39" i="15"/>
  <c r="H38" i="15"/>
  <c r="H37" i="15"/>
  <c r="H36" i="15"/>
  <c r="H35" i="15"/>
  <c r="H34" i="15"/>
  <c r="H33" i="15"/>
  <c r="H32" i="15"/>
  <c r="H31" i="15"/>
  <c r="H30" i="15"/>
  <c r="H29" i="15"/>
  <c r="H28" i="15"/>
  <c r="H27" i="15"/>
  <c r="H26" i="15"/>
  <c r="H25" i="15"/>
  <c r="H24" i="15"/>
  <c r="H23" i="15"/>
  <c r="H22" i="15"/>
  <c r="H21" i="15"/>
  <c r="H20" i="15"/>
  <c r="H19" i="15"/>
  <c r="H17" i="15"/>
  <c r="H18" i="15"/>
  <c r="H16" i="15"/>
  <c r="H15" i="15"/>
  <c r="H14" i="15"/>
  <c r="H13" i="15"/>
  <c r="H12" i="15"/>
  <c r="H11" i="15"/>
  <c r="H10" i="15"/>
  <c r="H9" i="15"/>
  <c r="H8" i="15"/>
  <c r="H7" i="15"/>
  <c r="H6" i="15"/>
  <c r="H5" i="15"/>
  <c r="J70" i="15"/>
  <c r="J71" i="15" s="1"/>
  <c r="J72" i="15" s="1"/>
  <c r="M66" i="15"/>
  <c r="J66" i="15"/>
  <c r="J67" i="15" s="1"/>
  <c r="J68" i="15" s="1"/>
  <c r="J61" i="15"/>
  <c r="J62" i="15" s="1"/>
  <c r="J63" i="15" s="1"/>
  <c r="E50" i="15"/>
  <c r="E49" i="15" s="1"/>
  <c r="L45" i="15"/>
  <c r="L44" i="15"/>
  <c r="J44" i="15"/>
  <c r="J45" i="15" s="1"/>
  <c r="L61" i="15" s="1"/>
  <c r="R43" i="15"/>
  <c r="M43" i="15"/>
  <c r="G43" i="15"/>
  <c r="D43" i="15"/>
  <c r="L43" i="15" s="1"/>
  <c r="M42" i="15"/>
  <c r="N42" i="15" s="1"/>
  <c r="G42" i="15"/>
  <c r="L42" i="15" s="1"/>
  <c r="M41" i="15"/>
  <c r="G41" i="15"/>
  <c r="L41" i="15" s="1"/>
  <c r="M40" i="15"/>
  <c r="N40" i="15" s="1"/>
  <c r="G40" i="15"/>
  <c r="L40" i="15" s="1"/>
  <c r="M39" i="15"/>
  <c r="G39" i="15"/>
  <c r="L39" i="15" s="1"/>
  <c r="M38" i="15"/>
  <c r="N38" i="15" s="1"/>
  <c r="G38" i="15"/>
  <c r="L38" i="15" s="1"/>
  <c r="M37" i="15"/>
  <c r="I52" i="15" s="1"/>
  <c r="G37" i="15"/>
  <c r="L37" i="15" s="1"/>
  <c r="D37" i="15"/>
  <c r="M36" i="15"/>
  <c r="N36" i="15" s="1"/>
  <c r="M35" i="15"/>
  <c r="M34" i="15"/>
  <c r="N34" i="15" s="1"/>
  <c r="M33" i="15"/>
  <c r="N33" i="15" s="1"/>
  <c r="M32" i="15"/>
  <c r="N32" i="15" s="1"/>
  <c r="N31" i="15"/>
  <c r="M31" i="15"/>
  <c r="M30" i="15"/>
  <c r="N30" i="15" s="1"/>
  <c r="D30" i="15"/>
  <c r="M29" i="15"/>
  <c r="N29" i="15" s="1"/>
  <c r="D29" i="15"/>
  <c r="N28" i="15"/>
  <c r="M28" i="15"/>
  <c r="D28" i="15"/>
  <c r="M27" i="15"/>
  <c r="D27" i="15"/>
  <c r="M26" i="15"/>
  <c r="N26" i="15" s="1"/>
  <c r="D26" i="15"/>
  <c r="M25" i="15"/>
  <c r="D25" i="15"/>
  <c r="M24" i="15"/>
  <c r="N24" i="15" s="1"/>
  <c r="D24" i="15"/>
  <c r="M23" i="15"/>
  <c r="D23" i="15"/>
  <c r="M22" i="15"/>
  <c r="N22" i="15" s="1"/>
  <c r="M21" i="15"/>
  <c r="N21" i="15" s="1"/>
  <c r="M20" i="15"/>
  <c r="N20" i="15" s="1"/>
  <c r="N19" i="15"/>
  <c r="M19" i="15"/>
  <c r="D19" i="15"/>
  <c r="M18" i="15"/>
  <c r="N18" i="15" s="1"/>
  <c r="M17" i="15"/>
  <c r="N17" i="15" s="1"/>
  <c r="M16" i="15"/>
  <c r="N16" i="15" s="1"/>
  <c r="M15" i="15"/>
  <c r="N15" i="15" s="1"/>
  <c r="M14" i="15"/>
  <c r="N14" i="15" s="1"/>
  <c r="M13" i="15"/>
  <c r="N13" i="15" s="1"/>
  <c r="M12" i="15"/>
  <c r="N12" i="15" s="1"/>
  <c r="M11" i="15"/>
  <c r="N11" i="15" s="1"/>
  <c r="M10" i="15"/>
  <c r="N10" i="15" s="1"/>
  <c r="M9" i="15"/>
  <c r="N9" i="15" s="1"/>
  <c r="M8" i="15"/>
  <c r="M7" i="15"/>
  <c r="N7" i="15" s="1"/>
  <c r="M6" i="15"/>
  <c r="M5" i="15"/>
  <c r="D5" i="15"/>
  <c r="D44" i="15" s="1"/>
  <c r="D41" i="3"/>
  <c r="G19" i="14"/>
  <c r="G18" i="14"/>
  <c r="G17" i="14"/>
  <c r="E19" i="14"/>
  <c r="E18" i="14"/>
  <c r="E17" i="14"/>
  <c r="N39" i="15" l="1"/>
  <c r="N41" i="15"/>
  <c r="N23" i="15"/>
  <c r="N25" i="15"/>
  <c r="N27" i="15"/>
  <c r="H44" i="15"/>
  <c r="J52" i="15"/>
  <c r="I45" i="15"/>
  <c r="P46" i="15"/>
  <c r="Q46" i="15" s="1"/>
  <c r="P47" i="15"/>
  <c r="Q47" i="15" s="1"/>
  <c r="M44" i="15"/>
  <c r="M45" i="15" s="1"/>
  <c r="I50" i="15"/>
  <c r="J50" i="15" s="1"/>
  <c r="P44" i="15"/>
  <c r="Q44" i="15" s="1"/>
  <c r="I49" i="15"/>
  <c r="J49" i="15" s="1"/>
  <c r="N6" i="15"/>
  <c r="N8" i="15"/>
  <c r="P45" i="15"/>
  <c r="Q45" i="15" s="1"/>
  <c r="I51" i="15"/>
  <c r="J51" i="15" s="1"/>
  <c r="N5" i="15"/>
  <c r="N37" i="15"/>
  <c r="E11" i="14"/>
  <c r="H18" i="14"/>
  <c r="H12" i="14" s="1"/>
  <c r="F7" i="14"/>
  <c r="G7" i="14" s="1"/>
  <c r="H17" i="14"/>
  <c r="F10" i="14"/>
  <c r="G10" i="14" s="1"/>
  <c r="F9" i="14"/>
  <c r="G9" i="14" s="1"/>
  <c r="F6" i="14"/>
  <c r="G6" i="14" s="1"/>
  <c r="F5" i="14"/>
  <c r="D39" i="5"/>
  <c r="D38" i="5"/>
  <c r="D35" i="5"/>
  <c r="D37" i="5"/>
  <c r="D14" i="3"/>
  <c r="H6" i="14" l="1"/>
  <c r="H10" i="14"/>
  <c r="G5" i="14"/>
  <c r="H5" i="14" s="1"/>
  <c r="H7" i="14"/>
  <c r="H9" i="14"/>
  <c r="G11" i="14"/>
  <c r="F8" i="14"/>
  <c r="G8" i="14" s="1"/>
  <c r="H8" i="14" s="1"/>
  <c r="H11" i="14" l="1"/>
  <c r="D11" i="3" l="1"/>
  <c r="D40" i="5" s="1"/>
  <c r="D8" i="3"/>
  <c r="D41" i="5" s="1"/>
  <c r="F42" i="4"/>
  <c r="F41" i="4"/>
  <c r="F40" i="4"/>
  <c r="E30" i="4"/>
  <c r="E27" i="4"/>
  <c r="E24" i="4"/>
  <c r="E21" i="4"/>
  <c r="E13" i="4"/>
  <c r="E16" i="4" s="1"/>
  <c r="E17" i="4"/>
  <c r="E15" i="4"/>
  <c r="E14" i="4"/>
  <c r="E12" i="4"/>
  <c r="E25" i="4" l="1"/>
  <c r="E28" i="4"/>
  <c r="E18" i="4"/>
  <c r="E22" i="4"/>
  <c r="E31" i="4" s="1"/>
  <c r="E32" i="4" s="1"/>
  <c r="C42" i="5" l="1"/>
  <c r="C48" i="5"/>
  <c r="C49" i="5"/>
  <c r="C50" i="5"/>
  <c r="C47" i="5"/>
  <c r="E38" i="8" l="1"/>
  <c r="E39" i="8"/>
  <c r="E37" i="8"/>
  <c r="H38" i="8" l="1"/>
  <c r="H37" i="8" s="1"/>
  <c r="E48" i="5"/>
  <c r="F9" i="4"/>
  <c r="E9" i="4" s="1"/>
  <c r="E36" i="4" s="1"/>
  <c r="D16" i="3" s="1"/>
  <c r="F27" i="4"/>
  <c r="F24" i="4"/>
  <c r="F21" i="4"/>
  <c r="F17" i="4"/>
  <c r="D9" i="5" l="1"/>
  <c r="H32" i="8"/>
  <c r="E17" i="5" l="1"/>
  <c r="E50" i="5" s="1"/>
  <c r="E18" i="5"/>
  <c r="E16" i="5"/>
  <c r="E49" i="5" s="1"/>
  <c r="E14" i="5"/>
  <c r="E47" i="5" s="1"/>
  <c r="E13" i="5"/>
  <c r="C13" i="5"/>
  <c r="E31" i="3"/>
  <c r="D49" i="12" l="1"/>
  <c r="D48" i="12" s="1"/>
  <c r="D43" i="12"/>
  <c r="D44" i="12" s="1"/>
  <c r="C43" i="12"/>
  <c r="C44" i="12" s="1"/>
  <c r="E42" i="12"/>
  <c r="F42" i="12" s="1"/>
  <c r="E41" i="12"/>
  <c r="F41" i="12" s="1"/>
  <c r="E40" i="12"/>
  <c r="F40" i="12" s="1"/>
  <c r="G40" i="12" s="1"/>
  <c r="H40" i="12" s="1"/>
  <c r="I40" i="12" s="1"/>
  <c r="J40" i="12" s="1"/>
  <c r="K40" i="12" s="1"/>
  <c r="L40" i="12" s="1"/>
  <c r="M40" i="12" s="1"/>
  <c r="N40" i="12" s="1"/>
  <c r="O40" i="12" s="1"/>
  <c r="P40" i="12" s="1"/>
  <c r="E39" i="12"/>
  <c r="F39" i="12" s="1"/>
  <c r="G39" i="12" s="1"/>
  <c r="H39" i="12" s="1"/>
  <c r="I39" i="12" s="1"/>
  <c r="J39" i="12" s="1"/>
  <c r="K39" i="12" s="1"/>
  <c r="L39" i="12" s="1"/>
  <c r="M39" i="12" s="1"/>
  <c r="N39" i="12" s="1"/>
  <c r="O39" i="12" s="1"/>
  <c r="P39" i="12" s="1"/>
  <c r="E38" i="12"/>
  <c r="F38" i="12" s="1"/>
  <c r="E37" i="12"/>
  <c r="F37" i="12" s="1"/>
  <c r="E36" i="12"/>
  <c r="F36" i="12" s="1"/>
  <c r="E35" i="12"/>
  <c r="F35" i="12" s="1"/>
  <c r="G35" i="12" s="1"/>
  <c r="H35" i="12" s="1"/>
  <c r="I35" i="12" s="1"/>
  <c r="J35" i="12" s="1"/>
  <c r="K35" i="12" s="1"/>
  <c r="L35" i="12" s="1"/>
  <c r="M35" i="12" s="1"/>
  <c r="N35" i="12" s="1"/>
  <c r="O35" i="12" s="1"/>
  <c r="P35" i="12" s="1"/>
  <c r="E34" i="12"/>
  <c r="F34" i="12" s="1"/>
  <c r="E33" i="12"/>
  <c r="F33" i="12" s="1"/>
  <c r="E32" i="12"/>
  <c r="F32" i="12" s="1"/>
  <c r="E31" i="12"/>
  <c r="F31" i="12" s="1"/>
  <c r="G31" i="12" s="1"/>
  <c r="E30" i="12"/>
  <c r="F30" i="12" s="1"/>
  <c r="E29" i="12"/>
  <c r="F29" i="12" s="1"/>
  <c r="E28" i="12"/>
  <c r="F28" i="12" s="1"/>
  <c r="G28" i="12" s="1"/>
  <c r="H28" i="12" s="1"/>
  <c r="I28" i="12" s="1"/>
  <c r="J28" i="12" s="1"/>
  <c r="K28" i="12" s="1"/>
  <c r="L28" i="12" s="1"/>
  <c r="M28" i="12" s="1"/>
  <c r="N28" i="12" s="1"/>
  <c r="O28" i="12" s="1"/>
  <c r="P28" i="12" s="1"/>
  <c r="E27" i="12"/>
  <c r="F27" i="12" s="1"/>
  <c r="G27" i="12" s="1"/>
  <c r="H27" i="12" s="1"/>
  <c r="I27" i="12" s="1"/>
  <c r="J27" i="12" s="1"/>
  <c r="K27" i="12" s="1"/>
  <c r="L27" i="12" s="1"/>
  <c r="M27" i="12" s="1"/>
  <c r="N27" i="12" s="1"/>
  <c r="O27" i="12" s="1"/>
  <c r="P27" i="12" s="1"/>
  <c r="E26" i="12"/>
  <c r="F26" i="12" s="1"/>
  <c r="E25" i="12"/>
  <c r="F25" i="12" s="1"/>
  <c r="G25" i="12" s="1"/>
  <c r="H25" i="12" s="1"/>
  <c r="I25" i="12" s="1"/>
  <c r="J25" i="12" s="1"/>
  <c r="K25" i="12" s="1"/>
  <c r="L25" i="12" s="1"/>
  <c r="M25" i="12" s="1"/>
  <c r="N25" i="12" s="1"/>
  <c r="O25" i="12" s="1"/>
  <c r="P25" i="12" s="1"/>
  <c r="E24" i="12"/>
  <c r="F24" i="12" s="1"/>
  <c r="G24" i="12" s="1"/>
  <c r="H24" i="12" s="1"/>
  <c r="I24" i="12" s="1"/>
  <c r="J24" i="12" s="1"/>
  <c r="K24" i="12" s="1"/>
  <c r="L24" i="12" s="1"/>
  <c r="M24" i="12" s="1"/>
  <c r="N24" i="12" s="1"/>
  <c r="O24" i="12" s="1"/>
  <c r="P24" i="12" s="1"/>
  <c r="E23" i="12"/>
  <c r="F23" i="12" s="1"/>
  <c r="G23" i="12" s="1"/>
  <c r="E50" i="11"/>
  <c r="E49" i="11" s="1"/>
  <c r="G32" i="12" l="1"/>
  <c r="H32" i="12" s="1"/>
  <c r="I32" i="12" s="1"/>
  <c r="J32" i="12" s="1"/>
  <c r="K32" i="12" s="1"/>
  <c r="L32" i="12" s="1"/>
  <c r="M32" i="12" s="1"/>
  <c r="N32" i="12" s="1"/>
  <c r="O32" i="12" s="1"/>
  <c r="P32" i="12" s="1"/>
  <c r="G30" i="12"/>
  <c r="H30" i="12" s="1"/>
  <c r="I30" i="12" s="1"/>
  <c r="J30" i="12" s="1"/>
  <c r="K30" i="12" s="1"/>
  <c r="L30" i="12" s="1"/>
  <c r="M30" i="12" s="1"/>
  <c r="N30" i="12" s="1"/>
  <c r="O30" i="12" s="1"/>
  <c r="P30" i="12" s="1"/>
  <c r="G42" i="12"/>
  <c r="H42" i="12" s="1"/>
  <c r="I42" i="12" s="1"/>
  <c r="J42" i="12" s="1"/>
  <c r="K42" i="12" s="1"/>
  <c r="L42" i="12" s="1"/>
  <c r="M42" i="12" s="1"/>
  <c r="N42" i="12" s="1"/>
  <c r="O42" i="12" s="1"/>
  <c r="P42" i="12" s="1"/>
  <c r="Q24" i="12"/>
  <c r="R24" i="12" s="1"/>
  <c r="H23" i="12"/>
  <c r="I23" i="12" s="1"/>
  <c r="J23" i="12" s="1"/>
  <c r="K23" i="12" s="1"/>
  <c r="L23" i="12" s="1"/>
  <c r="H31" i="12"/>
  <c r="I31" i="12" s="1"/>
  <c r="J31" i="12" s="1"/>
  <c r="K31" i="12" s="1"/>
  <c r="L31" i="12" s="1"/>
  <c r="M31" i="12" s="1"/>
  <c r="N31" i="12" s="1"/>
  <c r="O31" i="12" s="1"/>
  <c r="P31" i="12" s="1"/>
  <c r="G41" i="12"/>
  <c r="H41" i="12" s="1"/>
  <c r="I41" i="12" s="1"/>
  <c r="J41" i="12" s="1"/>
  <c r="K41" i="12" s="1"/>
  <c r="L41" i="12" s="1"/>
  <c r="M41" i="12" s="1"/>
  <c r="N41" i="12" s="1"/>
  <c r="O41" i="12" s="1"/>
  <c r="P41" i="12" s="1"/>
  <c r="G37" i="12"/>
  <c r="H37" i="12" s="1"/>
  <c r="I37" i="12" s="1"/>
  <c r="J37" i="12" s="1"/>
  <c r="K37" i="12" s="1"/>
  <c r="L37" i="12" s="1"/>
  <c r="M37" i="12" s="1"/>
  <c r="N37" i="12" s="1"/>
  <c r="O37" i="12" s="1"/>
  <c r="P37" i="12" s="1"/>
  <c r="G33" i="12"/>
  <c r="H33" i="12" s="1"/>
  <c r="I33" i="12" s="1"/>
  <c r="J33" i="12" s="1"/>
  <c r="K33" i="12" s="1"/>
  <c r="L33" i="12" s="1"/>
  <c r="M33" i="12" s="1"/>
  <c r="N33" i="12" s="1"/>
  <c r="O33" i="12" s="1"/>
  <c r="P33" i="12" s="1"/>
  <c r="Q39" i="12"/>
  <c r="R39" i="12" s="1"/>
  <c r="G36" i="12"/>
  <c r="H36" i="12" s="1"/>
  <c r="I36" i="12" s="1"/>
  <c r="J36" i="12" s="1"/>
  <c r="K36" i="12" s="1"/>
  <c r="L36" i="12" s="1"/>
  <c r="M36" i="12" s="1"/>
  <c r="N36" i="12" s="1"/>
  <c r="O36" i="12" s="1"/>
  <c r="P36" i="12" s="1"/>
  <c r="Q28" i="12"/>
  <c r="R28" i="12" s="1"/>
  <c r="Q40" i="12"/>
  <c r="R40" i="12" s="1"/>
  <c r="G29" i="12"/>
  <c r="H29" i="12" s="1"/>
  <c r="I29" i="12" s="1"/>
  <c r="J29" i="12" s="1"/>
  <c r="K29" i="12" s="1"/>
  <c r="L29" i="12" s="1"/>
  <c r="Q25" i="12"/>
  <c r="R25" i="12" s="1"/>
  <c r="Q27" i="12"/>
  <c r="R27" i="12" s="1"/>
  <c r="Q35" i="12"/>
  <c r="R35" i="12" s="1"/>
  <c r="G38" i="12"/>
  <c r="H38" i="12" s="1"/>
  <c r="I38" i="12" s="1"/>
  <c r="J38" i="12" s="1"/>
  <c r="K38" i="12" s="1"/>
  <c r="L38" i="12" s="1"/>
  <c r="M38" i="12" s="1"/>
  <c r="N38" i="12" s="1"/>
  <c r="O38" i="12" s="1"/>
  <c r="P38" i="12" s="1"/>
  <c r="G34" i="12"/>
  <c r="H34" i="12" s="1"/>
  <c r="I34" i="12" s="1"/>
  <c r="J34" i="12" s="1"/>
  <c r="K34" i="12" s="1"/>
  <c r="L34" i="12" s="1"/>
  <c r="M34" i="12" s="1"/>
  <c r="N34" i="12" s="1"/>
  <c r="O34" i="12" s="1"/>
  <c r="P34" i="12" s="1"/>
  <c r="G26" i="12"/>
  <c r="H26" i="12" s="1"/>
  <c r="I26" i="12" s="1"/>
  <c r="J26" i="12" s="1"/>
  <c r="K26" i="12" s="1"/>
  <c r="L26" i="12" s="1"/>
  <c r="M26" i="12" s="1"/>
  <c r="N26" i="12" s="1"/>
  <c r="O26" i="12" s="1"/>
  <c r="P26" i="12" s="1"/>
  <c r="M23" i="12" l="1"/>
  <c r="Q34" i="12"/>
  <c r="R34" i="12" s="1"/>
  <c r="Q36" i="12"/>
  <c r="R36" i="12" s="1"/>
  <c r="Q29" i="12"/>
  <c r="R29" i="12" s="1"/>
  <c r="Q30" i="12"/>
  <c r="R30" i="12" s="1"/>
  <c r="Q38" i="12"/>
  <c r="R38" i="12" s="1"/>
  <c r="Q42" i="12"/>
  <c r="R42" i="12" s="1"/>
  <c r="Q32" i="12"/>
  <c r="R32" i="12" s="1"/>
  <c r="Q41" i="12"/>
  <c r="R41" i="12" s="1"/>
  <c r="Q33" i="12"/>
  <c r="R33" i="12" s="1"/>
  <c r="Q26" i="12"/>
  <c r="R26" i="12" s="1"/>
  <c r="Q31" i="12"/>
  <c r="R31" i="12" s="1"/>
  <c r="Q37" i="12"/>
  <c r="R37" i="12" s="1"/>
  <c r="N23" i="12" l="1"/>
  <c r="O23" i="12" l="1"/>
  <c r="P23" i="12" l="1"/>
  <c r="Q23" i="12" l="1"/>
  <c r="R23" i="12" s="1"/>
  <c r="M66" i="11" l="1"/>
  <c r="J44" i="11"/>
  <c r="J45" i="11" s="1"/>
  <c r="I44" i="11"/>
  <c r="I45" i="11" s="1"/>
  <c r="H44" i="11"/>
  <c r="M43" i="11"/>
  <c r="N43" i="11" s="1"/>
  <c r="R43" i="11"/>
  <c r="M6" i="11"/>
  <c r="M7" i="11"/>
  <c r="M8" i="11"/>
  <c r="N8" i="11" s="1"/>
  <c r="M9" i="11"/>
  <c r="N9" i="11" s="1"/>
  <c r="M10" i="11"/>
  <c r="N10" i="11" s="1"/>
  <c r="M11" i="11"/>
  <c r="N11" i="11" s="1"/>
  <c r="M12" i="11"/>
  <c r="N12" i="11" s="1"/>
  <c r="M13" i="11"/>
  <c r="N13" i="11" s="1"/>
  <c r="M14" i="11"/>
  <c r="N14" i="11" s="1"/>
  <c r="M15" i="11"/>
  <c r="N15" i="11" s="1"/>
  <c r="M16" i="11"/>
  <c r="N16" i="11" s="1"/>
  <c r="M17" i="11"/>
  <c r="N17" i="11" s="1"/>
  <c r="M18" i="11"/>
  <c r="N18" i="11" s="1"/>
  <c r="M19" i="11"/>
  <c r="N19" i="11" s="1"/>
  <c r="M20" i="11"/>
  <c r="N20" i="11" s="1"/>
  <c r="M21" i="11"/>
  <c r="N21" i="11" s="1"/>
  <c r="M22" i="11"/>
  <c r="N22" i="11" s="1"/>
  <c r="M23" i="11"/>
  <c r="N23" i="11" s="1"/>
  <c r="M24" i="11"/>
  <c r="N24" i="11" s="1"/>
  <c r="M25" i="11"/>
  <c r="N25" i="11" s="1"/>
  <c r="M26" i="11"/>
  <c r="N26" i="11" s="1"/>
  <c r="M27" i="11"/>
  <c r="N27" i="11" s="1"/>
  <c r="M28" i="11"/>
  <c r="N28" i="11" s="1"/>
  <c r="M29" i="11"/>
  <c r="N29" i="11" s="1"/>
  <c r="M30" i="11"/>
  <c r="N30" i="11" s="1"/>
  <c r="M31" i="11"/>
  <c r="N31" i="11" s="1"/>
  <c r="M32" i="11"/>
  <c r="N32" i="11" s="1"/>
  <c r="M33" i="11"/>
  <c r="N33" i="11" s="1"/>
  <c r="M34" i="11"/>
  <c r="N34" i="11" s="1"/>
  <c r="M35" i="11"/>
  <c r="N35" i="11" s="1"/>
  <c r="M36" i="11"/>
  <c r="N36" i="11" s="1"/>
  <c r="M37" i="11"/>
  <c r="M38" i="11"/>
  <c r="N38" i="11" s="1"/>
  <c r="M39" i="11"/>
  <c r="N39" i="11" s="1"/>
  <c r="M40" i="11"/>
  <c r="N40" i="11" s="1"/>
  <c r="M41" i="11"/>
  <c r="N41" i="11" s="1"/>
  <c r="M42" i="11"/>
  <c r="N42" i="11" s="1"/>
  <c r="N37" i="11" l="1"/>
  <c r="I52" i="11"/>
  <c r="J52" i="11" s="1"/>
  <c r="P47" i="11"/>
  <c r="Q47" i="11" s="1"/>
  <c r="N7" i="11"/>
  <c r="I51" i="11"/>
  <c r="J51" i="11" s="1"/>
  <c r="P46" i="11"/>
  <c r="Q46" i="11" s="1"/>
  <c r="N6" i="11"/>
  <c r="I50" i="11"/>
  <c r="J50" i="11" s="1"/>
  <c r="P45" i="11"/>
  <c r="Q45" i="11" s="1"/>
  <c r="E35" i="5"/>
  <c r="B2" i="13"/>
  <c r="C32" i="3"/>
  <c r="F63" i="3"/>
  <c r="F62" i="3"/>
  <c r="F61" i="3"/>
  <c r="D38" i="3" l="1"/>
  <c r="D34" i="3"/>
  <c r="D22" i="5" s="1"/>
  <c r="D40" i="3"/>
  <c r="D36" i="5" s="1"/>
  <c r="D34" i="5" s="1"/>
  <c r="D37" i="3"/>
  <c r="D36" i="3"/>
  <c r="D39" i="3"/>
  <c r="D35" i="3"/>
  <c r="D23" i="5" s="1"/>
  <c r="E35" i="3"/>
  <c r="E38" i="3"/>
  <c r="E34" i="3"/>
  <c r="E37" i="3"/>
  <c r="E36" i="3"/>
  <c r="E39" i="3"/>
  <c r="E40" i="3"/>
  <c r="E8" i="3"/>
  <c r="E11" i="3"/>
  <c r="F71" i="5"/>
  <c r="H69" i="5"/>
  <c r="G67" i="5"/>
  <c r="E42" i="5"/>
  <c r="E4" i="8"/>
  <c r="E5" i="8"/>
  <c r="E6" i="8"/>
  <c r="E7" i="8"/>
  <c r="E8" i="8"/>
  <c r="E9" i="8"/>
  <c r="E10" i="8"/>
  <c r="E11" i="8"/>
  <c r="E12" i="8"/>
  <c r="E13" i="8"/>
  <c r="E14" i="8"/>
  <c r="E15" i="8"/>
  <c r="E16" i="8"/>
  <c r="E18" i="8"/>
  <c r="D44" i="3" l="1"/>
  <c r="D20" i="5"/>
  <c r="D12" i="5" s="1"/>
  <c r="D54" i="5"/>
  <c r="D53" i="5"/>
  <c r="F66" i="5"/>
  <c r="E20" i="12"/>
  <c r="E19" i="12"/>
  <c r="E18" i="12"/>
  <c r="E17" i="12"/>
  <c r="E16" i="12"/>
  <c r="E15" i="12"/>
  <c r="E14" i="12"/>
  <c r="E13" i="12"/>
  <c r="E9" i="12"/>
  <c r="E65" i="5"/>
  <c r="E22" i="12"/>
  <c r="E12" i="12"/>
  <c r="E11" i="12"/>
  <c r="E10" i="12"/>
  <c r="E5" i="12"/>
  <c r="E6" i="12"/>
  <c r="E7" i="12"/>
  <c r="E8" i="12"/>
  <c r="E4" i="12"/>
  <c r="E43" i="12" s="1"/>
  <c r="E44" i="12" s="1"/>
  <c r="E21" i="12"/>
  <c r="F8" i="12" l="1"/>
  <c r="G8" i="12" s="1"/>
  <c r="H8" i="12" s="1"/>
  <c r="I8" i="12" s="1"/>
  <c r="J8" i="12" s="1"/>
  <c r="K8" i="12" s="1"/>
  <c r="L8" i="12" s="1"/>
  <c r="M8" i="12" s="1"/>
  <c r="N8" i="12" s="1"/>
  <c r="O8" i="12" s="1"/>
  <c r="P8" i="12" s="1"/>
  <c r="F7" i="12"/>
  <c r="G7" i="12" s="1"/>
  <c r="H7" i="12" s="1"/>
  <c r="I7" i="12" s="1"/>
  <c r="J7" i="12" s="1"/>
  <c r="K7" i="12" s="1"/>
  <c r="L7" i="12" s="1"/>
  <c r="M7" i="12" s="1"/>
  <c r="N7" i="12" s="1"/>
  <c r="O7" i="12" s="1"/>
  <c r="P7" i="12" s="1"/>
  <c r="Q7" i="12"/>
  <c r="F4" i="12"/>
  <c r="F5" i="12"/>
  <c r="G5" i="12" s="1"/>
  <c r="H5" i="12" s="1"/>
  <c r="I5" i="12" s="1"/>
  <c r="J5" i="12" s="1"/>
  <c r="K5" i="12" s="1"/>
  <c r="L5" i="12" s="1"/>
  <c r="M5" i="12" s="1"/>
  <c r="N5" i="12" s="1"/>
  <c r="O5" i="12" s="1"/>
  <c r="P5" i="12" s="1"/>
  <c r="F6" i="12"/>
  <c r="G6" i="12" s="1"/>
  <c r="H6" i="12" s="1"/>
  <c r="I6" i="12" s="1"/>
  <c r="J6" i="12" s="1"/>
  <c r="K6" i="12" s="1"/>
  <c r="L6" i="12" s="1"/>
  <c r="M6" i="12" s="1"/>
  <c r="N6" i="12" s="1"/>
  <c r="O6" i="12" s="1"/>
  <c r="P6" i="12" s="1"/>
  <c r="F21" i="12"/>
  <c r="G21" i="12" s="1"/>
  <c r="H21" i="12" s="1"/>
  <c r="I21" i="12" s="1"/>
  <c r="J21" i="12" s="1"/>
  <c r="K21" i="12" s="1"/>
  <c r="L21" i="12" s="1"/>
  <c r="M21" i="12" s="1"/>
  <c r="N21" i="12" s="1"/>
  <c r="O21" i="12" s="1"/>
  <c r="P21" i="12" s="1"/>
  <c r="F22" i="12"/>
  <c r="G22" i="12" s="1"/>
  <c r="F19" i="12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F20" i="12"/>
  <c r="G20" i="12" s="1"/>
  <c r="H20" i="12" s="1"/>
  <c r="I20" i="12" s="1"/>
  <c r="J20" i="12" s="1"/>
  <c r="K20" i="12" s="1"/>
  <c r="L20" i="12" s="1"/>
  <c r="M20" i="12" s="1"/>
  <c r="N20" i="12" s="1"/>
  <c r="O20" i="12" s="1"/>
  <c r="P20" i="12" s="1"/>
  <c r="F17" i="12"/>
  <c r="G17" i="12" s="1"/>
  <c r="H17" i="12" s="1"/>
  <c r="I17" i="12" s="1"/>
  <c r="J17" i="12" s="1"/>
  <c r="K17" i="12" s="1"/>
  <c r="L17" i="12" s="1"/>
  <c r="M17" i="12" s="1"/>
  <c r="N17" i="12" s="1"/>
  <c r="O17" i="12" s="1"/>
  <c r="P17" i="12" s="1"/>
  <c r="F18" i="12"/>
  <c r="G18" i="12" s="1"/>
  <c r="H18" i="12" s="1"/>
  <c r="I18" i="12" s="1"/>
  <c r="J18" i="12" s="1"/>
  <c r="K18" i="12" s="1"/>
  <c r="L18" i="12" s="1"/>
  <c r="M18" i="12" s="1"/>
  <c r="N18" i="12" s="1"/>
  <c r="O18" i="12" s="1"/>
  <c r="P18" i="12" s="1"/>
  <c r="F15" i="12"/>
  <c r="G15" i="12" s="1"/>
  <c r="H15" i="12" s="1"/>
  <c r="I15" i="12" s="1"/>
  <c r="J15" i="12" s="1"/>
  <c r="K15" i="12" s="1"/>
  <c r="L15" i="12" s="1"/>
  <c r="M15" i="12" s="1"/>
  <c r="N15" i="12" s="1"/>
  <c r="O15" i="12" s="1"/>
  <c r="P15" i="12" s="1"/>
  <c r="F10" i="12"/>
  <c r="G10" i="12" s="1"/>
  <c r="H10" i="12" s="1"/>
  <c r="I10" i="12" s="1"/>
  <c r="J10" i="12" s="1"/>
  <c r="K10" i="12" s="1"/>
  <c r="L10" i="12" s="1"/>
  <c r="M10" i="12" s="1"/>
  <c r="N10" i="12" s="1"/>
  <c r="O10" i="12" s="1"/>
  <c r="P10" i="12" s="1"/>
  <c r="F14" i="12"/>
  <c r="G14" i="12" s="1"/>
  <c r="H14" i="12" s="1"/>
  <c r="I14" i="12" s="1"/>
  <c r="J14" i="12" s="1"/>
  <c r="K14" i="12" s="1"/>
  <c r="L14" i="12" s="1"/>
  <c r="M14" i="12" s="1"/>
  <c r="N14" i="12" s="1"/>
  <c r="O14" i="12" s="1"/>
  <c r="P14" i="12" s="1"/>
  <c r="F11" i="12"/>
  <c r="G11" i="12" s="1"/>
  <c r="H11" i="12" s="1"/>
  <c r="I11" i="12" s="1"/>
  <c r="J11" i="12" s="1"/>
  <c r="K11" i="12" s="1"/>
  <c r="L11" i="12" s="1"/>
  <c r="M11" i="12" s="1"/>
  <c r="N11" i="12" s="1"/>
  <c r="O11" i="12" s="1"/>
  <c r="P11" i="12" s="1"/>
  <c r="F12" i="12"/>
  <c r="G12" i="12" s="1"/>
  <c r="H12" i="12" s="1"/>
  <c r="I12" i="12" s="1"/>
  <c r="J12" i="12" s="1"/>
  <c r="K12" i="12" s="1"/>
  <c r="L12" i="12" s="1"/>
  <c r="M12" i="12" s="1"/>
  <c r="N12" i="12" s="1"/>
  <c r="O12" i="12" s="1"/>
  <c r="P12" i="12" s="1"/>
  <c r="F9" i="12"/>
  <c r="G9" i="12" s="1"/>
  <c r="H9" i="12" s="1"/>
  <c r="I9" i="12" s="1"/>
  <c r="J9" i="12" s="1"/>
  <c r="K9" i="12" s="1"/>
  <c r="L9" i="12" s="1"/>
  <c r="M9" i="12" s="1"/>
  <c r="N9" i="12" s="1"/>
  <c r="O9" i="12" s="1"/>
  <c r="P9" i="12" s="1"/>
  <c r="F16" i="12"/>
  <c r="G16" i="12" s="1"/>
  <c r="H16" i="12" s="1"/>
  <c r="I16" i="12" s="1"/>
  <c r="J16" i="12" s="1"/>
  <c r="K16" i="12" s="1"/>
  <c r="L16" i="12" s="1"/>
  <c r="M16" i="12" s="1"/>
  <c r="N16" i="12" s="1"/>
  <c r="O16" i="12" s="1"/>
  <c r="P16" i="12" s="1"/>
  <c r="F13" i="12"/>
  <c r="G13" i="12" s="1"/>
  <c r="H13" i="12" s="1"/>
  <c r="I13" i="12" s="1"/>
  <c r="J13" i="12" s="1"/>
  <c r="K13" i="12" s="1"/>
  <c r="L13" i="12" s="1"/>
  <c r="M13" i="12" s="1"/>
  <c r="N13" i="12" s="1"/>
  <c r="O13" i="12" s="1"/>
  <c r="P13" i="12" s="1"/>
  <c r="G4" i="12" l="1"/>
  <c r="F43" i="12"/>
  <c r="F44" i="12" s="1"/>
  <c r="Q8" i="12"/>
  <c r="Q5" i="12"/>
  <c r="R5" i="12" s="1"/>
  <c r="Q15" i="12"/>
  <c r="H22" i="12"/>
  <c r="G43" i="12"/>
  <c r="G44" i="12" s="1"/>
  <c r="Q20" i="12"/>
  <c r="R20" i="12" s="1"/>
  <c r="Q6" i="12"/>
  <c r="Q18" i="12"/>
  <c r="Q17" i="12"/>
  <c r="Q16" i="12"/>
  <c r="Q21" i="12"/>
  <c r="Q11" i="12"/>
  <c r="Q14" i="12"/>
  <c r="Q13" i="12"/>
  <c r="R13" i="12" s="1"/>
  <c r="Q9" i="12"/>
  <c r="Q10" i="12"/>
  <c r="Q12" i="12"/>
  <c r="Q19" i="12"/>
  <c r="R14" i="12"/>
  <c r="R8" i="12"/>
  <c r="R15" i="12"/>
  <c r="R12" i="12"/>
  <c r="R18" i="12"/>
  <c r="R7" i="12"/>
  <c r="H4" i="12" l="1"/>
  <c r="I4" i="12" s="1"/>
  <c r="J4" i="12" s="1"/>
  <c r="K4" i="12" s="1"/>
  <c r="L4" i="12" s="1"/>
  <c r="I22" i="12"/>
  <c r="H43" i="12"/>
  <c r="H44" i="12" s="1"/>
  <c r="R6" i="12"/>
  <c r="R21" i="12"/>
  <c r="R19" i="12"/>
  <c r="R17" i="12"/>
  <c r="R10" i="12"/>
  <c r="R11" i="12"/>
  <c r="R16" i="12"/>
  <c r="J61" i="11"/>
  <c r="J62" i="11" s="1"/>
  <c r="J63" i="11" s="1"/>
  <c r="D43" i="11"/>
  <c r="D37" i="11"/>
  <c r="D19" i="11"/>
  <c r="D5" i="11"/>
  <c r="D30" i="11"/>
  <c r="D29" i="11"/>
  <c r="D28" i="11"/>
  <c r="D27" i="11"/>
  <c r="D26" i="11"/>
  <c r="D25" i="11"/>
  <c r="D24" i="11"/>
  <c r="D23" i="11"/>
  <c r="G42" i="11"/>
  <c r="L42" i="11" s="1"/>
  <c r="G38" i="11"/>
  <c r="L38" i="11" s="1"/>
  <c r="G40" i="11"/>
  <c r="L40" i="11" s="1"/>
  <c r="G41" i="11"/>
  <c r="L41" i="11" s="1"/>
  <c r="G39" i="11"/>
  <c r="L39" i="11" s="1"/>
  <c r="G43" i="11"/>
  <c r="G37" i="11"/>
  <c r="M4" i="12" l="1"/>
  <c r="L43" i="12"/>
  <c r="L44" i="12" s="1"/>
  <c r="J22" i="12"/>
  <c r="I43" i="12"/>
  <c r="I44" i="12" s="1"/>
  <c r="D44" i="11"/>
  <c r="J66" i="11"/>
  <c r="J67" i="11" s="1"/>
  <c r="J68" i="11" s="1"/>
  <c r="M5" i="11"/>
  <c r="J70" i="11"/>
  <c r="J71" i="11" s="1"/>
  <c r="J72" i="11" s="1"/>
  <c r="L61" i="11"/>
  <c r="L43" i="11"/>
  <c r="L37" i="11"/>
  <c r="F27" i="8"/>
  <c r="F29" i="8"/>
  <c r="F25" i="8"/>
  <c r="F26" i="8" l="1"/>
  <c r="N4" i="12"/>
  <c r="M43" i="12"/>
  <c r="M44" i="12" s="1"/>
  <c r="K22" i="12"/>
  <c r="J43" i="12"/>
  <c r="J44" i="12" s="1"/>
  <c r="P44" i="11"/>
  <c r="Q44" i="11" s="1"/>
  <c r="I49" i="11"/>
  <c r="J49" i="11" s="1"/>
  <c r="N5" i="11"/>
  <c r="M44" i="11"/>
  <c r="M45" i="11" s="1"/>
  <c r="F30" i="8"/>
  <c r="F28" i="8"/>
  <c r="L44" i="11"/>
  <c r="O4" i="12" l="1"/>
  <c r="N43" i="12"/>
  <c r="N44" i="12" s="1"/>
  <c r="K43" i="12"/>
  <c r="K44" i="12" s="1"/>
  <c r="Q22" i="12"/>
  <c r="E20" i="3"/>
  <c r="L45" i="11"/>
  <c r="P4" i="12" l="1"/>
  <c r="P43" i="12" s="1"/>
  <c r="P44" i="12" s="1"/>
  <c r="O43" i="12"/>
  <c r="O44" i="12" s="1"/>
  <c r="Q4" i="12"/>
  <c r="R4" i="12" s="1"/>
  <c r="R22" i="12"/>
  <c r="Q43" i="12"/>
  <c r="Q44" i="12" s="1"/>
  <c r="R9" i="12" l="1"/>
  <c r="R43" i="12" s="1"/>
  <c r="R44" i="12" s="1"/>
  <c r="E31" i="8" l="1"/>
  <c r="G26" i="8" l="1"/>
  <c r="H26" i="8" s="1"/>
  <c r="G27" i="8"/>
  <c r="H27" i="8" s="1"/>
  <c r="G28" i="8"/>
  <c r="H28" i="8" s="1"/>
  <c r="G29" i="8"/>
  <c r="H29" i="8" s="1"/>
  <c r="G30" i="8"/>
  <c r="H30" i="8" s="1"/>
  <c r="G25" i="8"/>
  <c r="H25" i="8" s="1"/>
  <c r="H31" i="8" l="1"/>
  <c r="E41" i="3" s="1"/>
  <c r="G31" i="8"/>
  <c r="E14" i="3" l="1"/>
  <c r="C40" i="5" l="1"/>
  <c r="C41" i="5"/>
  <c r="C36" i="5"/>
  <c r="C37" i="5"/>
  <c r="C38" i="5"/>
  <c r="E38" i="5"/>
  <c r="C39" i="5"/>
  <c r="C22" i="5"/>
  <c r="C20" i="5"/>
  <c r="E40" i="5"/>
  <c r="E22" i="5" l="1"/>
  <c r="E37" i="5"/>
  <c r="E36" i="5"/>
  <c r="E20" i="5" l="1"/>
  <c r="E12" i="5" s="1"/>
  <c r="E39" i="5"/>
  <c r="E44" i="3" l="1"/>
  <c r="F13" i="4"/>
  <c r="F16" i="4" s="1"/>
  <c r="F25" i="4" l="1"/>
  <c r="F28" i="4"/>
  <c r="F22" i="4"/>
  <c r="F18" i="4"/>
  <c r="F31" i="4" l="1"/>
  <c r="F32" i="4" s="1"/>
  <c r="F36" i="4" s="1"/>
  <c r="E16" i="3" l="1"/>
  <c r="E9" i="5" s="1"/>
  <c r="C14" i="3" l="1"/>
  <c r="C35" i="5" l="1"/>
  <c r="C34" i="5" s="1"/>
  <c r="E23" i="5"/>
  <c r="E54" i="5" s="1"/>
  <c r="D13" i="4"/>
  <c r="C44" i="3"/>
  <c r="E41" i="5" l="1"/>
  <c r="C23" i="5"/>
  <c r="E34" i="5" l="1"/>
  <c r="E53" i="5"/>
  <c r="C54" i="5"/>
  <c r="C11" i="5" l="1"/>
  <c r="C12" i="5" l="1"/>
  <c r="C53" i="5" l="1"/>
  <c r="D16" i="4" l="1"/>
  <c r="D25" i="4" s="1"/>
  <c r="D18" i="4" l="1"/>
  <c r="D22" i="4"/>
  <c r="D28" i="4"/>
  <c r="D31" i="4" l="1"/>
  <c r="D32" i="4" s="1"/>
  <c r="D36" i="4" s="1"/>
  <c r="C16" i="3" l="1"/>
  <c r="D11" i="5" l="1"/>
  <c r="D45" i="5" s="1"/>
  <c r="D52" i="5" s="1"/>
  <c r="D43" i="3"/>
  <c r="D49" i="3" s="1"/>
  <c r="D52" i="3" s="1"/>
  <c r="C43" i="3"/>
  <c r="C49" i="3" s="1"/>
  <c r="C9" i="5"/>
  <c r="C45" i="5" s="1"/>
  <c r="C52" i="5" s="1"/>
  <c r="C52" i="3" l="1"/>
  <c r="E11" i="5"/>
  <c r="E45" i="5" s="1"/>
  <c r="E52" i="5" s="1"/>
  <c r="E43" i="3"/>
  <c r="E49" i="3" s="1"/>
  <c r="E52" i="3" s="1"/>
  <c r="E64" i="5"/>
  <c r="E66" i="5" s="1"/>
</calcChain>
</file>

<file path=xl/sharedStrings.xml><?xml version="1.0" encoding="utf-8"?>
<sst xmlns="http://schemas.openxmlformats.org/spreadsheetml/2006/main" count="1157" uniqueCount="462">
  <si>
    <t>тыс. руб.</t>
  </si>
  <si>
    <t xml:space="preserve">п.п.  </t>
  </si>
  <si>
    <t xml:space="preserve">Наименование показателя         </t>
  </si>
  <si>
    <t xml:space="preserve">Сырье, основные материалы               </t>
  </si>
  <si>
    <t xml:space="preserve">Вспомогательные материалы               </t>
  </si>
  <si>
    <t xml:space="preserve">из них на ремонт                        </t>
  </si>
  <si>
    <t xml:space="preserve">Топливо на технологические цели         </t>
  </si>
  <si>
    <t xml:space="preserve">Энергия                                 </t>
  </si>
  <si>
    <t xml:space="preserve">5.1.   </t>
  </si>
  <si>
    <t xml:space="preserve">Затраты на оплату труда                 </t>
  </si>
  <si>
    <t xml:space="preserve">Отчисления на социальные нужды          </t>
  </si>
  <si>
    <t xml:space="preserve">Амортизация основных средств            </t>
  </si>
  <si>
    <t xml:space="preserve">Прочие затраты всего, в том числе:      </t>
  </si>
  <si>
    <t xml:space="preserve">9.1.   </t>
  </si>
  <si>
    <t xml:space="preserve">Целевые средства на НИОКР               </t>
  </si>
  <si>
    <t xml:space="preserve">9.2.   </t>
  </si>
  <si>
    <t xml:space="preserve">Средства на страхование                 </t>
  </si>
  <si>
    <t xml:space="preserve">9.3.   </t>
  </si>
  <si>
    <t xml:space="preserve">9.4.   </t>
  </si>
  <si>
    <t xml:space="preserve">9.5.   </t>
  </si>
  <si>
    <t xml:space="preserve">9.6.   </t>
  </si>
  <si>
    <t xml:space="preserve">Водный налог (ГЭС)                      </t>
  </si>
  <si>
    <t xml:space="preserve">9.7.   </t>
  </si>
  <si>
    <t>9.7.1.</t>
  </si>
  <si>
    <t xml:space="preserve">Налог на землю                          </t>
  </si>
  <si>
    <t>9.7.2.</t>
  </si>
  <si>
    <t xml:space="preserve">Налог на пользователей автодорог        </t>
  </si>
  <si>
    <t xml:space="preserve">9.8.   </t>
  </si>
  <si>
    <t>9.8.1.</t>
  </si>
  <si>
    <t xml:space="preserve">Арендная плата                          </t>
  </si>
  <si>
    <t xml:space="preserve">Итого расходов                          </t>
  </si>
  <si>
    <t xml:space="preserve">в том числе:                            </t>
  </si>
  <si>
    <t xml:space="preserve">13.1.  </t>
  </si>
  <si>
    <t xml:space="preserve">- электрическая энергия                 </t>
  </si>
  <si>
    <t>13.1.1.</t>
  </si>
  <si>
    <t xml:space="preserve">производство электроэнергии             </t>
  </si>
  <si>
    <t>13.1.2.</t>
  </si>
  <si>
    <t xml:space="preserve">покупная электроэнергия                 </t>
  </si>
  <si>
    <t>13.1.3.</t>
  </si>
  <si>
    <t xml:space="preserve">передача электроэнергии                 </t>
  </si>
  <si>
    <t xml:space="preserve">13.2.  </t>
  </si>
  <si>
    <t xml:space="preserve">- тепловая энергия                      </t>
  </si>
  <si>
    <t>13.2.1.</t>
  </si>
  <si>
    <t xml:space="preserve">производство теплоэнергии               </t>
  </si>
  <si>
    <t>13.2.2.</t>
  </si>
  <si>
    <t xml:space="preserve">покупная теплоэнергия                   </t>
  </si>
  <si>
    <t>13.2.3.</t>
  </si>
  <si>
    <t xml:space="preserve">передача теплоэнергии                   </t>
  </si>
  <si>
    <t xml:space="preserve">13.3.  </t>
  </si>
  <si>
    <t xml:space="preserve">- прочая продукция                      </t>
  </si>
  <si>
    <t>Работы   и    услуги   производственного характера</t>
  </si>
  <si>
    <t>Плата за  предельно  допустимые  выбросы (сбросы)</t>
  </si>
  <si>
    <t xml:space="preserve">Оплата за услуги по организации функционирования и развитию ЕЭС  России, оперативно-диспетчерскому управлению в электроэнергетике, организации функционирования торговой системы оптового рынка электрической энергии (мощности), передаче электрической энергии по единой национальной (общероссийской) электрической сети   </t>
  </si>
  <si>
    <t>Отчисления  в  ремонтный  фонд (в случае его формирования)</t>
  </si>
  <si>
    <t xml:space="preserve">Непроизводственные  расходы  (налоги и другие обязательные платежи и сборы)    </t>
  </si>
  <si>
    <t>Другие затраты, относимые на себестоимость продукции, всего в т.ч</t>
  </si>
  <si>
    <t>Недополученный по независящим причинам доход</t>
  </si>
  <si>
    <t xml:space="preserve">Избыток средств, полученный в предыдущем периоде регулирования        </t>
  </si>
  <si>
    <t>Расчетные расходы по производству продукции (услуг)</t>
  </si>
  <si>
    <t>тыс.руб.</t>
  </si>
  <si>
    <t>Примечание</t>
  </si>
  <si>
    <t xml:space="preserve">9.10.   </t>
  </si>
  <si>
    <t>9.9.</t>
  </si>
  <si>
    <t>Общепроизводственные расходы</t>
  </si>
  <si>
    <t>Общехозяйственные расходы</t>
  </si>
  <si>
    <t>Капитальный ремонт оборудования</t>
  </si>
  <si>
    <t>Капитальный ремонт зданий и сооружений</t>
  </si>
  <si>
    <t>Текущий ремонт оборудования</t>
  </si>
  <si>
    <t>Текущий ремонт зданий и сооружений</t>
  </si>
  <si>
    <t xml:space="preserve">9.11.   </t>
  </si>
  <si>
    <t xml:space="preserve">9.12.   </t>
  </si>
  <si>
    <t xml:space="preserve">9.13.   </t>
  </si>
  <si>
    <t>9.14.</t>
  </si>
  <si>
    <t>Расходы на обеспечение нормальных условий труда</t>
  </si>
  <si>
    <t>9.15.</t>
  </si>
  <si>
    <t xml:space="preserve">Транспортные расходы </t>
  </si>
  <si>
    <t>9.16.</t>
  </si>
  <si>
    <t xml:space="preserve">N   </t>
  </si>
  <si>
    <t xml:space="preserve">Показатели               </t>
  </si>
  <si>
    <t>Ед. изм.</t>
  </si>
  <si>
    <t xml:space="preserve">Численность                           </t>
  </si>
  <si>
    <t xml:space="preserve">Численность ППП                       </t>
  </si>
  <si>
    <t xml:space="preserve">чел.  </t>
  </si>
  <si>
    <t xml:space="preserve">Средняя оплата труда                  </t>
  </si>
  <si>
    <t xml:space="preserve">2.1.   </t>
  </si>
  <si>
    <t xml:space="preserve">Тарифная ставка рабочего 1 разряда    </t>
  </si>
  <si>
    <t xml:space="preserve">руб.  </t>
  </si>
  <si>
    <t xml:space="preserve">2.2.   </t>
  </si>
  <si>
    <t xml:space="preserve">Дефлятор по заработной плате          </t>
  </si>
  <si>
    <t xml:space="preserve">2.3.   </t>
  </si>
  <si>
    <t xml:space="preserve">2.4.   </t>
  </si>
  <si>
    <t xml:space="preserve">Средняя ступень оплаты                </t>
  </si>
  <si>
    <t xml:space="preserve">2.5.   </t>
  </si>
  <si>
    <t xml:space="preserve">2.6.   </t>
  </si>
  <si>
    <t xml:space="preserve">Среднемесячная тарифная ставка ППП    </t>
  </si>
  <si>
    <t xml:space="preserve">- " -  </t>
  </si>
  <si>
    <t xml:space="preserve">2.7.   </t>
  </si>
  <si>
    <t>2.7.1.</t>
  </si>
  <si>
    <t xml:space="preserve">процент выплаты                       </t>
  </si>
  <si>
    <t xml:space="preserve">%    </t>
  </si>
  <si>
    <t>2.7.2.</t>
  </si>
  <si>
    <t xml:space="preserve">сумма выплат                          </t>
  </si>
  <si>
    <t xml:space="preserve">2.8.   </t>
  </si>
  <si>
    <t xml:space="preserve">Текущее премирование                  </t>
  </si>
  <si>
    <t>2.8.1.</t>
  </si>
  <si>
    <t>2.8.2.</t>
  </si>
  <si>
    <t xml:space="preserve">2.9.   </t>
  </si>
  <si>
    <t xml:space="preserve">Вознаграждение за выслугу лет         </t>
  </si>
  <si>
    <t>2.9.1.</t>
  </si>
  <si>
    <t>2.9.2.</t>
  </si>
  <si>
    <t xml:space="preserve">2.10.  </t>
  </si>
  <si>
    <t xml:space="preserve">Выплаты по итогам года                </t>
  </si>
  <si>
    <t>2.10.1.</t>
  </si>
  <si>
    <t>2.10.2.</t>
  </si>
  <si>
    <t xml:space="preserve">2.11.  </t>
  </si>
  <si>
    <t>2.11.1.</t>
  </si>
  <si>
    <t>2.11.2.</t>
  </si>
  <si>
    <t xml:space="preserve">2.12.  </t>
  </si>
  <si>
    <t xml:space="preserve">3.1.   </t>
  </si>
  <si>
    <t xml:space="preserve">Льготный проезд к месту отдыха        </t>
  </si>
  <si>
    <t xml:space="preserve">3.2.   </t>
  </si>
  <si>
    <t xml:space="preserve">По Постановлению от 03.11.94 N 1206   </t>
  </si>
  <si>
    <t xml:space="preserve">3.3.   </t>
  </si>
  <si>
    <t xml:space="preserve">Итого средства на оплату труда ППП    </t>
  </si>
  <si>
    <t xml:space="preserve">Тарифный коэффициент,  соответствующий ступени по оплате труда    </t>
  </si>
  <si>
    <t xml:space="preserve">Выплаты, связанные с режимом работы  с условиями труда 1 работника           </t>
  </si>
  <si>
    <t>тыс. руб</t>
  </si>
  <si>
    <t>Тарифная ставка  рабочего  1 разряда с учетом дефлятора</t>
  </si>
  <si>
    <t>Выплаты по  районному  коэффициенту  и северные надбавки</t>
  </si>
  <si>
    <t>Итого среднемесячная оплата труда на 1 работника</t>
  </si>
  <si>
    <t>Расчет средств  на  оплату  труда  ППП (включённого в себестоимость)</t>
  </si>
  <si>
    <t xml:space="preserve">Калькуляционные статьи затрат         </t>
  </si>
  <si>
    <t>Основная оплата труда производственных рабочих</t>
  </si>
  <si>
    <t xml:space="preserve">4.1. </t>
  </si>
  <si>
    <t xml:space="preserve">амортизация производственного оборудования    </t>
  </si>
  <si>
    <t xml:space="preserve">ВН                                            </t>
  </si>
  <si>
    <t xml:space="preserve">СН1                                           </t>
  </si>
  <si>
    <t xml:space="preserve">СН11                                          </t>
  </si>
  <si>
    <t xml:space="preserve">НН                                            </t>
  </si>
  <si>
    <t xml:space="preserve">4.2. </t>
  </si>
  <si>
    <t xml:space="preserve">отчисления в ремонтный фонд                   </t>
  </si>
  <si>
    <t xml:space="preserve">4.3. </t>
  </si>
  <si>
    <t xml:space="preserve">Цеховые расходы                               </t>
  </si>
  <si>
    <t xml:space="preserve">Общехозяйственные расходы, всего в том числе: </t>
  </si>
  <si>
    <t xml:space="preserve">7.1. </t>
  </si>
  <si>
    <t xml:space="preserve">Целевые средства на НИОКР                     </t>
  </si>
  <si>
    <t xml:space="preserve">7.2. </t>
  </si>
  <si>
    <t xml:space="preserve">Средства на страхование                       </t>
  </si>
  <si>
    <t xml:space="preserve">7.3. </t>
  </si>
  <si>
    <t xml:space="preserve">7.4. </t>
  </si>
  <si>
    <t xml:space="preserve">7.5. </t>
  </si>
  <si>
    <t xml:space="preserve">в том числе:                                  </t>
  </si>
  <si>
    <t xml:space="preserve">- налог на землю                              </t>
  </si>
  <si>
    <t xml:space="preserve">Арендная плата                                </t>
  </si>
  <si>
    <t xml:space="preserve">Недополученный по независящим причинам доход  </t>
  </si>
  <si>
    <t xml:space="preserve">Итого производственные расходы                </t>
  </si>
  <si>
    <t xml:space="preserve">Полезный отпуск электроэнергии, млн. кВт.ч    </t>
  </si>
  <si>
    <t xml:space="preserve">Удельные расходы, руб./тыс. кВт.ч             </t>
  </si>
  <si>
    <t xml:space="preserve">Условно-постоянные затраты, в том числе:      </t>
  </si>
  <si>
    <t xml:space="preserve">Сумма общехозяйственных расходов              </t>
  </si>
  <si>
    <t xml:space="preserve">Расходы    по    содержанию   и    эксплуатации оборудования, в том числе:                    </t>
  </si>
  <si>
    <t>Дополнительная  оплата  труда  производственных рабочих</t>
  </si>
  <si>
    <t xml:space="preserve">Отчисления    на    соц.    нужды    с   оплаты производственных рабочих          </t>
  </si>
  <si>
    <t>другие  расходы  по содержанию  и  эксплуатации оборудования</t>
  </si>
  <si>
    <t xml:space="preserve">Расходы по подготовке и  освоению  производства (пусковые работы)                       </t>
  </si>
  <si>
    <t xml:space="preserve">Плата за предельно допустимые  выбросы (сбросы) загрязняющих веществ              </t>
  </si>
  <si>
    <t>Отчисления   в  ремонтный  фонд  в  случае  его формирования</t>
  </si>
  <si>
    <t>Непроизводственные расходы (налоги  и    другие обязательные платежи и сборы) всего, в т.ч</t>
  </si>
  <si>
    <t>Другие   затраты,  относимые  на  себестоимость продукции, всего, в том числе:</t>
  </si>
  <si>
    <t>Избыток  средств,   полученный   в   предыдущем периоде регулирования</t>
  </si>
  <si>
    <t>Покупка потерь</t>
  </si>
  <si>
    <t>9.17.</t>
  </si>
  <si>
    <t>Межсетевеое взаимодействие МРСК (индивидуальные тарифы)</t>
  </si>
  <si>
    <t>Заместитель главного инженера</t>
  </si>
  <si>
    <t>Верюжский В.О.</t>
  </si>
  <si>
    <t>Должность</t>
  </si>
  <si>
    <t>Ф.И.О.</t>
  </si>
  <si>
    <t>М.П.</t>
  </si>
  <si>
    <t>Прочее оборудование</t>
  </si>
  <si>
    <t>Расчет расходов на оплату труда в сфере оказания услуг по передаче электроэнергии АО "ЦС "Звёздочка"</t>
  </si>
  <si>
    <t>-</t>
  </si>
  <si>
    <t xml:space="preserve">8.1. </t>
  </si>
  <si>
    <t>Покупка потерь электроэнергии</t>
  </si>
  <si>
    <t xml:space="preserve">8.2. </t>
  </si>
  <si>
    <t xml:space="preserve">8.3. </t>
  </si>
  <si>
    <t xml:space="preserve">8.4. </t>
  </si>
  <si>
    <t xml:space="preserve">8.5. </t>
  </si>
  <si>
    <t>№ п.п.</t>
  </si>
  <si>
    <t>капитальный ремонт и техническое обслуживание</t>
  </si>
  <si>
    <t>Работы и услуги вспомогательного характера</t>
  </si>
  <si>
    <t>Сырьё и материалы</t>
  </si>
  <si>
    <t xml:space="preserve">8.6. </t>
  </si>
  <si>
    <t xml:space="preserve">8.7. </t>
  </si>
  <si>
    <t>14.1.</t>
  </si>
  <si>
    <t>Таблица N П1.15</t>
  </si>
  <si>
    <t>Таблица N П1.18.2</t>
  </si>
  <si>
    <t>исп. Артюгин В.М. 8(8184)596-138</t>
  </si>
  <si>
    <t>Калькуляция расходов, связанных с передачей электрической энергии АО "ЦС "Звёздочка"</t>
  </si>
  <si>
    <t>Расходы на услуги по передаче электроэнергии (руб.)</t>
  </si>
  <si>
    <t>ИТОГО</t>
  </si>
  <si>
    <t>№ п/п</t>
  </si>
  <si>
    <t>Выполненные работы</t>
  </si>
  <si>
    <t>Cумма ( руб.)</t>
  </si>
  <si>
    <t>срок реализации</t>
  </si>
  <si>
    <t>Участок</t>
  </si>
  <si>
    <t>Название транспортного средства</t>
  </si>
  <si>
    <t>Вид транспорта</t>
  </si>
  <si>
    <t>Назначение</t>
  </si>
  <si>
    <t>Эл.сн.</t>
  </si>
  <si>
    <t>Грузовой автомобиль</t>
  </si>
  <si>
    <t>Перевозка трансформаторов и кабеля</t>
  </si>
  <si>
    <t>Перевозка опор освещения</t>
  </si>
  <si>
    <t>Рытьё траншей под КЛ</t>
  </si>
  <si>
    <t>Уборка снега в зимнее время</t>
  </si>
  <si>
    <t>Автовышка</t>
  </si>
  <si>
    <t>Устранение аварий, ремонт ВЛ, сетей освещения, ремонт и замена ламп</t>
  </si>
  <si>
    <t>Автокран</t>
  </si>
  <si>
    <t>Погрузка и разгрузка оборудования и кабельной продукции</t>
  </si>
  <si>
    <t>Сумма затрат (руб)</t>
  </si>
  <si>
    <t xml:space="preserve">Трактор </t>
  </si>
  <si>
    <t>Грузовой</t>
  </si>
  <si>
    <t>Специальный</t>
  </si>
  <si>
    <t>Подъемно-механический</t>
  </si>
  <si>
    <t>Количество машино-часов</t>
  </si>
  <si>
    <t>руб.</t>
  </si>
  <si>
    <t>Грузовой тр-т</t>
  </si>
  <si>
    <t>маш. час.</t>
  </si>
  <si>
    <t>Спецтранспорт</t>
  </si>
  <si>
    <t>Подъемно-механический тр-т</t>
  </si>
  <si>
    <t>Плановая стоимость (руб)</t>
  </si>
  <si>
    <t>Плановые расходы на услуги по передаче электроэнергии (руб.)</t>
  </si>
  <si>
    <t>Плановый процент распределения</t>
  </si>
  <si>
    <t xml:space="preserve">Заместитель главного инженера </t>
  </si>
  <si>
    <t>В.О. Верюжский</t>
  </si>
  <si>
    <t>исп. Артюгин В.М.</t>
  </si>
  <si>
    <t>8(8184)596-138</t>
  </si>
  <si>
    <t xml:space="preserve"> </t>
  </si>
  <si>
    <t>По факту 2015 года</t>
  </si>
  <si>
    <t>расходы на передачу</t>
  </si>
  <si>
    <t>Инвентарный номер ООС</t>
  </si>
  <si>
    <t>Наименование ООС</t>
  </si>
  <si>
    <t>ПС, руб.</t>
  </si>
  <si>
    <t>Дата принятия к учету ООС</t>
  </si>
  <si>
    <t>СПИ</t>
  </si>
  <si>
    <t>Максимальный СПИ*</t>
  </si>
  <si>
    <t>Начисленная амортизация на конец периода, предшествующего РПР, руб.</t>
  </si>
  <si>
    <t>Остаточная стоимость ООС на конец периода, предшествующего РПР, руб.</t>
  </si>
  <si>
    <t>Количество месяцев начисления амортизации в РПР</t>
  </si>
  <si>
    <t>Расчет месячной амортизации исходя из максимального СПИ, руб.</t>
  </si>
  <si>
    <t>187787</t>
  </si>
  <si>
    <t>Тpансфоpматоp силовой ТМ-250/10-0,23</t>
  </si>
  <si>
    <t>01.12.96</t>
  </si>
  <si>
    <t>187788</t>
  </si>
  <si>
    <t>187789</t>
  </si>
  <si>
    <t>187790</t>
  </si>
  <si>
    <t>187807</t>
  </si>
  <si>
    <t>Камеpа КPУ-ХП</t>
  </si>
  <si>
    <t>187808</t>
  </si>
  <si>
    <t>187809</t>
  </si>
  <si>
    <t>187810</t>
  </si>
  <si>
    <t>000303</t>
  </si>
  <si>
    <t>Здание главной понизительной подстанции ГПП-110/10</t>
  </si>
  <si>
    <t>01.12.84</t>
  </si>
  <si>
    <t>001198</t>
  </si>
  <si>
    <t>Высоковольтная линия от ТЭЦ-ГПП(главн.пониз.подст.)</t>
  </si>
  <si>
    <t>194952</t>
  </si>
  <si>
    <t>Кабельная трасса ТП-6 до ТП-5 мкр 9-10</t>
  </si>
  <si>
    <t>01.10.86</t>
  </si>
  <si>
    <t>194954</t>
  </si>
  <si>
    <t>Кабельная трасса от РТП-3П до врезки в питающий кабель в/ч92485</t>
  </si>
  <si>
    <t>01.03.87</t>
  </si>
  <si>
    <t>группа</t>
  </si>
  <si>
    <t>СРОК</t>
  </si>
  <si>
    <t>хар-ка</t>
  </si>
  <si>
    <t>4707100200</t>
  </si>
  <si>
    <t>Тепловизор BALTECH TR-01100</t>
  </si>
  <si>
    <t>31.08.12</t>
  </si>
  <si>
    <t>143312000</t>
  </si>
  <si>
    <t>7_10</t>
  </si>
  <si>
    <t>Средства измерений общего применения, кроме контрольного оборудования для технологических процессов</t>
  </si>
  <si>
    <t>5040200078</t>
  </si>
  <si>
    <t>Автомобиль  марки УАЗ модель 390995, комплектация:310</t>
  </si>
  <si>
    <t>31.07.11</t>
  </si>
  <si>
    <t>153410449</t>
  </si>
  <si>
    <t>5_7</t>
  </si>
  <si>
    <t>Автомобили специализированные для лесозаготовок; специализированные прочие; специальные прочие, кроме включенных в группировку 14 3410040</t>
  </si>
  <si>
    <t>Итого:</t>
  </si>
  <si>
    <t xml:space="preserve">* В соответствии с Классификацией основных средств, включаемых в амортизационные группы, утвержденной постановлением Правительства РФ от 1 января 2002 года </t>
  </si>
  <si>
    <t>амортизация в месяц</t>
  </si>
  <si>
    <t>Среднегодовая стоимость ООС, руб.</t>
  </si>
  <si>
    <t xml:space="preserve">Налог на имущество рассчитан как 2,2% от среднегодовой стоимости </t>
  </si>
  <si>
    <t>Измерительная установка "РЕТОМ-30КА"</t>
  </si>
  <si>
    <t>4707100273</t>
  </si>
  <si>
    <t>31.10.15</t>
  </si>
  <si>
    <t>Анализатор качества электроэнергии MI2892</t>
  </si>
  <si>
    <t>4707100276</t>
  </si>
  <si>
    <t>Трассоискатель "СТАЛКЕР 75-04"</t>
  </si>
  <si>
    <t>4707100272</t>
  </si>
  <si>
    <t>Установка для испытания "СКАТ-М 100В"</t>
  </si>
  <si>
    <t>4707100274</t>
  </si>
  <si>
    <t>Трёхфазный регистратор энергии Power Logger 1735 "FLUKE"</t>
  </si>
  <si>
    <t>4707100275</t>
  </si>
  <si>
    <t>проверка</t>
  </si>
  <si>
    <t>Приборы для измерения напряженности поля и радиопомех, генераторы радиоизмерительные</t>
  </si>
  <si>
    <t>3 гр -  свыше 3 лет до 5 лет вкл</t>
  </si>
  <si>
    <t>14 3312541</t>
  </si>
  <si>
    <t>ОКОФ</t>
  </si>
  <si>
    <t>Доля относимая на услуги по передаче</t>
  </si>
  <si>
    <t>ИТОГО (по участку)</t>
  </si>
  <si>
    <t>ИТОГО (в доле относимой на сторонних потребителей)</t>
  </si>
  <si>
    <t>В соответствии с расшифровкой</t>
  </si>
  <si>
    <t>- налог на имущество</t>
  </si>
  <si>
    <t>в соответствии с расчётом</t>
  </si>
  <si>
    <t>9.7.3.</t>
  </si>
  <si>
    <t xml:space="preserve">Налог на имущество       </t>
  </si>
  <si>
    <t>В соответствии с расчётом</t>
  </si>
  <si>
    <t>Таблица N П1.16</t>
  </si>
  <si>
    <t>8.8.</t>
  </si>
  <si>
    <t>2016 год (факт)</t>
  </si>
  <si>
    <t>Ожидаемое на период регулирования (2018 год)</t>
  </si>
  <si>
    <t>Объёмы потребления и передачи электроэнергии</t>
  </si>
  <si>
    <t>2016 год</t>
  </si>
  <si>
    <t>2018 год (ожидаемое)</t>
  </si>
  <si>
    <t>Объём электропотребления на сосбственные нужды АО "ЦС "Звёздочка"</t>
  </si>
  <si>
    <t>Объём передачи по электрическим сетям АО "ЦС "Звёздочка" потребителям</t>
  </si>
  <si>
    <t>Ощий объём электроэнергии</t>
  </si>
  <si>
    <t>% изменения</t>
  </si>
  <si>
    <t>Смета расходов на услуги по передаче электрической энергии сторонним потребителям АО "ЦС "Звёздочка"</t>
  </si>
  <si>
    <t>Расчет амортизации основных средств на 2018 год</t>
  </si>
  <si>
    <t>Расшифровка затрат по капитальному ремонту оборудования за 12 месяцев 2016 года участок электросети</t>
  </si>
  <si>
    <t>Расшифровка транспортных расходов (расчёт) на 2018 год</t>
  </si>
  <si>
    <t>Плановая стоимость услуг цеха № 20 по видам транспорта на 2018 год</t>
  </si>
  <si>
    <t>По факту 2016 года с учётом уменьшения объёма передачи и ИЦП  в промышленности без учёта ТЭК в базовом варианте прогноза социально-экономического развития РФ до 2019 года</t>
  </si>
  <si>
    <t xml:space="preserve">2016 год (факт) </t>
  </si>
  <si>
    <t>Ожидаемая внутризаводская цена на 2018 год*</t>
  </si>
  <si>
    <t>Расчет налога на имущество на 2018 год</t>
  </si>
  <si>
    <t>Кабельная тpасса от ТП-10 до казаpмы ПаХP и Вохp</t>
  </si>
  <si>
    <t>Кабельная тpасса от PТП-13 до склада москателей и химикатов</t>
  </si>
  <si>
    <t>Кабельная тpасса ФТП-2 до ТП-15</t>
  </si>
  <si>
    <t>Кабельная тpасса от ФТП-2 до ТП-35/1 объекта N 24 дл.470 м</t>
  </si>
  <si>
    <t>Кабельная тpасса от PТП-13 до ТП-11 дл.728 м</t>
  </si>
  <si>
    <t>Кабельная тpасса от объекта N 152 до ТП-29 /ПТП-26/</t>
  </si>
  <si>
    <t>Кабельная тpасса от PТП-13 до ТП-10</t>
  </si>
  <si>
    <t>Кабельная трасса от РПТП-8 объекта N 6 до ГРУ ТЭЦ-1 длинной 3,5км</t>
  </si>
  <si>
    <t>Кабельная тpасса от ТП-16 до щитовой "Столовой на 530 мест"</t>
  </si>
  <si>
    <t>Кабельная трасса от ПТП-26 до РП-38</t>
  </si>
  <si>
    <t>Кабельная трасса РП-38-ТП-39</t>
  </si>
  <si>
    <t>Кабельная трасса РП-38-ТП-41</t>
  </si>
  <si>
    <t>Кабельная трасса ГПП-110/10-РТП-38</t>
  </si>
  <si>
    <t>Кабельная тpасса ТП-11 до ТП-25</t>
  </si>
  <si>
    <t>Кабельная тpасса от ТП-10 до поликлиники на 750 посещений</t>
  </si>
  <si>
    <t>Кабельная тpасса от ТП-14 до поликлиники на 750 посещений</t>
  </si>
  <si>
    <t>Кабельная тpасса от ТП-10 до пождепо</t>
  </si>
  <si>
    <t>001055</t>
  </si>
  <si>
    <t>001056</t>
  </si>
  <si>
    <t>001111</t>
  </si>
  <si>
    <t>001118</t>
  </si>
  <si>
    <t>001125</t>
  </si>
  <si>
    <t>001127</t>
  </si>
  <si>
    <t>001134</t>
  </si>
  <si>
    <t>001137</t>
  </si>
  <si>
    <t>001166</t>
  </si>
  <si>
    <t>001167</t>
  </si>
  <si>
    <t>001170</t>
  </si>
  <si>
    <t>001173</t>
  </si>
  <si>
    <t>001180</t>
  </si>
  <si>
    <t>001203</t>
  </si>
  <si>
    <t>001227</t>
  </si>
  <si>
    <t>094293</t>
  </si>
  <si>
    <t>194865</t>
  </si>
  <si>
    <t>194922</t>
  </si>
  <si>
    <t>194953</t>
  </si>
  <si>
    <t>01.10.70</t>
  </si>
  <si>
    <t>01.12.83</t>
  </si>
  <si>
    <t>01.06.74</t>
  </si>
  <si>
    <t>01.02.70</t>
  </si>
  <si>
    <t>01.10.68</t>
  </si>
  <si>
    <t>01.11.77</t>
  </si>
  <si>
    <t>01.02.78</t>
  </si>
  <si>
    <t>01.12.79</t>
  </si>
  <si>
    <t>01.02.80</t>
  </si>
  <si>
    <t>01.02.82</t>
  </si>
  <si>
    <t>01.11.85</t>
  </si>
  <si>
    <t>01.12.85</t>
  </si>
  <si>
    <t>01.10.78</t>
  </si>
  <si>
    <t>01.07.86</t>
  </si>
  <si>
    <t>Трансформаторная подстанция РТП-35 РУ-6кв</t>
  </si>
  <si>
    <t>Вакуумные выключатели серии ВВ/TEL на ТП-16</t>
  </si>
  <si>
    <t>Здание энергоблока № 3 с ПТП-22</t>
  </si>
  <si>
    <t>143120162</t>
  </si>
  <si>
    <t>4075800151</t>
  </si>
  <si>
    <t>4075800143</t>
  </si>
  <si>
    <t>000903</t>
  </si>
  <si>
    <t>31.12.11</t>
  </si>
  <si>
    <t>31.03.11</t>
  </si>
  <si>
    <t>01.12.64</t>
  </si>
  <si>
    <t>ОСТАТОЧНАЯ НА КОНЕЦ 17</t>
  </si>
  <si>
    <t>ИЗНОС НА КОНЕЦ 17 НАЧ 18</t>
  </si>
  <si>
    <t>Расчёт ожидаемой годовой амортиз в 2018 руб.</t>
  </si>
  <si>
    <t>Месячная амортизация в 2018 году, руб.</t>
  </si>
  <si>
    <t>тип обор</t>
  </si>
  <si>
    <t>прочее</t>
  </si>
  <si>
    <t>Остаточная стоимость ООС на 01.01.2018, руб.</t>
  </si>
  <si>
    <t>Остаточная стоимость ООС на 01.02.2018, руб.</t>
  </si>
  <si>
    <t>Остаточная стоимость ООС на 01.03.2018, руб.</t>
  </si>
  <si>
    <t>Остаточная стоимость ООС на 01.04.2018, руб.</t>
  </si>
  <si>
    <t>Остаточная стоимость ООС на 01.05.2018, руб.</t>
  </si>
  <si>
    <t>Остаточная стоимость ООС на 01.06.2018, руб.</t>
  </si>
  <si>
    <t>Остаточная стоимость ООС на 01.07.2018, руб.</t>
  </si>
  <si>
    <t>Остаточная стоимость ООС на 01.08.2018, руб.</t>
  </si>
  <si>
    <t>Остаточная стоимость ООС на 01.09.2018, руб.</t>
  </si>
  <si>
    <t>Остаточная стоимость ООС на 01.10.2018, руб.</t>
  </si>
  <si>
    <t>Остаточная стоимость ООС на 01.12.2018, руб.</t>
  </si>
  <si>
    <t>Остаточная стоимость ООС на 01.11.2018, руб.</t>
  </si>
  <si>
    <t>Остаточная стоимость ООС на 31.12.2018, руб.</t>
  </si>
  <si>
    <t>Сумма налога на имущество в 2018 году, руб.</t>
  </si>
  <si>
    <t>_</t>
  </si>
  <si>
    <t>СН2</t>
  </si>
  <si>
    <t>ВН</t>
  </si>
  <si>
    <t>НН</t>
  </si>
  <si>
    <t>2018 год (ожидаемое) тыс кВт*ч</t>
  </si>
  <si>
    <t>%</t>
  </si>
  <si>
    <t>Аммортизация по уровням напряжения</t>
  </si>
  <si>
    <t>В целом по основным средствам (руб.)</t>
  </si>
  <si>
    <t>сумма амортизации</t>
  </si>
  <si>
    <t>КР опорно-стержневых изоляторов на ГПП</t>
  </si>
  <si>
    <t>КР эл.двигателей от эн.оборудования уч. эл.снабжения</t>
  </si>
  <si>
    <t>КР каб.линии ПТП-26 до РУ-0,4 кВ об. 150</t>
  </si>
  <si>
    <t>КР эл.отопления в ТП-27 и ТП-29</t>
  </si>
  <si>
    <t>КР отопления, водопровода об. 152</t>
  </si>
  <si>
    <t>КР наружного освещения предприятия</t>
  </si>
  <si>
    <t>КР силового трансформатора ТМ-750/10 на ТП-5</t>
  </si>
  <si>
    <t>31.11.2016</t>
  </si>
  <si>
    <t>КР каб.линии от ПТП-22 до РУ-8,10 об. 101</t>
  </si>
  <si>
    <t>КР наружного освещения пешеходной дорожки об. 83-174</t>
  </si>
  <si>
    <t>КР эл.двигателей от эн.оборуд. в/в участка</t>
  </si>
  <si>
    <t>КР силового трансформатора ТМ-56/10 на ТП-31</t>
  </si>
  <si>
    <t>КР отопления об. 103</t>
  </si>
  <si>
    <t>КР энергооборудования в об. 101</t>
  </si>
  <si>
    <t>Итого факт 12 мес. 2016г.:</t>
  </si>
  <si>
    <t>Средний процент распределения</t>
  </si>
  <si>
    <t>Удельный вес %</t>
  </si>
  <si>
    <t>Внутризаводская цена за 2016 год</t>
  </si>
  <si>
    <t>* Индексация утверждённых цен на 2018 год по ИЦП  на транспорт  в базовом варианте прогноза социально-экономического развития РФ до 2019 года.</t>
  </si>
  <si>
    <t>Доход недополученный в 2016 году</t>
  </si>
  <si>
    <t>без учёта недополученных доходов в 2016 году</t>
  </si>
  <si>
    <r>
      <t xml:space="preserve">Ожидаемое на период регулирования </t>
    </r>
    <r>
      <rPr>
        <b/>
        <sz val="10"/>
        <color theme="1"/>
        <rFont val="Arial"/>
        <family val="2"/>
        <charset val="204"/>
      </rPr>
      <t>(2 полугодие 2017 года)</t>
    </r>
  </si>
  <si>
    <r>
      <t xml:space="preserve">2017 год </t>
    </r>
    <r>
      <rPr>
        <b/>
        <i/>
        <u/>
        <sz val="10"/>
        <color theme="1"/>
        <rFont val="Arial"/>
        <family val="2"/>
        <charset val="204"/>
      </rPr>
      <t>(2 полугодие)</t>
    </r>
  </si>
  <si>
    <r>
      <t xml:space="preserve">2017 год </t>
    </r>
    <r>
      <rPr>
        <b/>
        <u/>
        <sz val="10"/>
        <color theme="1"/>
        <rFont val="Arial"/>
        <family val="2"/>
        <charset val="204"/>
      </rPr>
      <t>(2 полугодие)</t>
    </r>
  </si>
  <si>
    <r>
      <t>2017 год (</t>
    </r>
    <r>
      <rPr>
        <b/>
        <u/>
        <sz val="12"/>
        <color theme="1"/>
        <rFont val="Arial"/>
        <family val="2"/>
        <charset val="204"/>
      </rPr>
      <t>2 полугодие ожидаемое</t>
    </r>
    <r>
      <rPr>
        <b/>
        <sz val="12"/>
        <color theme="1"/>
        <rFont val="Arial"/>
        <family val="2"/>
        <charset val="204"/>
      </rPr>
      <t>)</t>
    </r>
  </si>
  <si>
    <t xml:space="preserve">Ожидаемое на 2017 год (2 полугодие) </t>
  </si>
  <si>
    <t>Расшифровка транспортных расходов (расчёт) на 2 полугодие 2017 года</t>
  </si>
  <si>
    <t>Плановая стоимость услуг цеха № 20 по видам транспорта на 2 полугодие 2017 года</t>
  </si>
  <si>
    <t>2 поугодие 2017 года (ожидаемое)</t>
  </si>
  <si>
    <t>2 полугодие 2017 года (ожидаемое) тыс кВт*ч</t>
  </si>
  <si>
    <t>Расчет амортизации основных средств на 2 полугодие 2017 год</t>
  </si>
  <si>
    <t>Месячная амортизация в 2017 году, руб.</t>
  </si>
  <si>
    <t xml:space="preserve">ИЗНОС НА КОНЕЦ 1 пг 17 </t>
  </si>
  <si>
    <t>ОСТАТОЧНАЯ НА КОНЕЦ 1 пг 1717</t>
  </si>
  <si>
    <t>Относимое на услуги по передаче (руб.)</t>
  </si>
  <si>
    <t>Необходимая валовая выручка на 2 полугодие 2017 года и на 2018 год с учётом межсетевого взаимодействия с МРСК (индивидуальные тарифы), покупкой потерь электроэнергии и недополученным доходом за период 2016 года.</t>
  </si>
  <si>
    <t>Ожидаемое увеличение в связи с изменением основного вида экономической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</si>
</sst>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(* #,##0.00_);_(* \(#,##0.00\);_(* &quot;-&quot;??_);_(@_)"/>
    <numFmt numFmtId="165" formatCode="&quot;$&quot;#,##0_);[Red]\(&quot;$&quot;#,##0\)"/>
    <numFmt numFmtId="166" formatCode="_-* #,##0.00_р_._-;\-* #,##0.00_р_._-;_-* \-??_р_._-;_-@_-"/>
    <numFmt numFmtId="167" formatCode="0.0"/>
    <numFmt numFmtId="168" formatCode="0.000"/>
    <numFmt numFmtId="169" formatCode="#,##0.000"/>
    <numFmt numFmtId="170" formatCode="#,##0_ ;\-#,##0\ "/>
    <numFmt numFmtId="171" formatCode="_-* #,##0_р_._-;\-* #,##0_р_._-;_-* &quot;-&quot;??_р_._-;_-@_-"/>
  </numFmts>
  <fonts count="9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62"/>
      <name val="Calibri"/>
      <family val="2"/>
      <charset val="204"/>
    </font>
    <font>
      <sz val="12"/>
      <name val="Arial"/>
      <family val="2"/>
      <charset val="204"/>
    </font>
    <font>
      <sz val="9"/>
      <name val="Tahoma"/>
      <family val="2"/>
      <charset val="204"/>
    </font>
    <font>
      <sz val="10"/>
      <name val="Helv"/>
    </font>
    <font>
      <sz val="10"/>
      <name val="MS Sans Serif"/>
      <family val="2"/>
      <charset val="204"/>
    </font>
    <font>
      <sz val="8"/>
      <name val="Helv"/>
      <charset val="204"/>
    </font>
    <font>
      <u/>
      <sz val="10"/>
      <color indexed="12"/>
      <name val="Arial Cyr"/>
      <charset val="204"/>
    </font>
    <font>
      <sz val="8"/>
      <name val="Palatino"/>
      <family val="1"/>
    </font>
    <font>
      <u/>
      <sz val="10"/>
      <color indexed="36"/>
      <name val="Arial Cyr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5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0"/>
      <color rgb="FFFF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color theme="9" tint="-0.249977111117893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name val="Times New Roman CE"/>
      <family val="1"/>
      <charset val="238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0"/>
      <color rgb="FF000000"/>
      <name val="Arial Cyr"/>
      <charset val="204"/>
    </font>
    <font>
      <sz val="10"/>
      <color theme="8" tint="-0.249977111117893"/>
      <name val="Arial Cyr"/>
      <charset val="204"/>
    </font>
    <font>
      <b/>
      <sz val="10"/>
      <color theme="9" tint="-0.249977111117893"/>
      <name val="Arial Cyr"/>
      <charset val="204"/>
    </font>
    <font>
      <b/>
      <sz val="10"/>
      <color rgb="FFC00000"/>
      <name val="Arial Cyr"/>
      <charset val="204"/>
    </font>
    <font>
      <sz val="12"/>
      <color rgb="FF000000"/>
      <name val="Verdana"/>
      <family val="2"/>
      <charset val="204"/>
    </font>
    <font>
      <b/>
      <sz val="10"/>
      <color theme="1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  <charset val="204"/>
    </font>
    <font>
      <b/>
      <sz val="9"/>
      <color theme="1"/>
      <name val="Verdana"/>
      <family val="2"/>
      <charset val="204"/>
    </font>
    <font>
      <sz val="8"/>
      <color theme="1"/>
      <name val="Verdana"/>
      <family val="2"/>
      <charset val="204"/>
    </font>
    <font>
      <b/>
      <i/>
      <sz val="11"/>
      <color rgb="FF00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i/>
      <sz val="12"/>
      <color rgb="FF000000"/>
      <name val="Calibri"/>
      <family val="2"/>
      <charset val="204"/>
      <scheme val="minor"/>
    </font>
    <font>
      <i/>
      <sz val="8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b/>
      <i/>
      <sz val="10"/>
      <color rgb="FFFF0000"/>
      <name val="Arial"/>
      <family val="2"/>
      <charset val="204"/>
    </font>
    <font>
      <b/>
      <sz val="11"/>
      <color theme="5" tint="-0.249977111117893"/>
      <name val="Calibri"/>
      <family val="2"/>
      <charset val="204"/>
      <scheme val="minor"/>
    </font>
    <font>
      <b/>
      <sz val="10"/>
      <color theme="5" tint="-0.249977111117893"/>
      <name val="Arial Cyr"/>
      <charset val="204"/>
    </font>
    <font>
      <b/>
      <sz val="12"/>
      <color theme="5" tint="-0.249977111117893"/>
      <name val="Verdana"/>
      <family val="2"/>
      <charset val="204"/>
    </font>
    <font>
      <b/>
      <i/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u/>
      <sz val="10"/>
      <color theme="1"/>
      <name val="Arial"/>
      <family val="2"/>
      <charset val="204"/>
    </font>
    <font>
      <b/>
      <u/>
      <sz val="10"/>
      <color theme="1"/>
      <name val="Arial"/>
      <family val="2"/>
      <charset val="204"/>
    </font>
    <font>
      <b/>
      <u/>
      <sz val="12"/>
      <color theme="1"/>
      <name val="Arial"/>
      <family val="2"/>
      <charset val="204"/>
    </font>
    <font>
      <b/>
      <i/>
      <sz val="14"/>
      <color theme="1"/>
      <name val="Arial"/>
      <family val="2"/>
      <charset val="204"/>
    </font>
    <font>
      <i/>
      <sz val="14"/>
      <color theme="1"/>
      <name val="Arial"/>
      <family val="2"/>
      <charset val="204"/>
    </font>
  </fonts>
  <fills count="5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69">
    <xf numFmtId="0" fontId="0" fillId="0" borderId="0"/>
    <xf numFmtId="0" fontId="8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0" fontId="1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7" fillId="0" borderId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24" borderId="0" applyNumberFormat="0" applyBorder="0" applyAlignment="0" applyProtection="0"/>
    <xf numFmtId="0" fontId="13" fillId="23" borderId="0" applyNumberFormat="0" applyBorder="0" applyAlignment="0" applyProtection="0"/>
    <xf numFmtId="0" fontId="13" fillId="29" borderId="0" applyNumberFormat="0" applyBorder="0" applyAlignment="0" applyProtection="0"/>
    <xf numFmtId="0" fontId="13" fillId="31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13" fillId="31" borderId="0" applyNumberFormat="0" applyBorder="0" applyAlignment="0" applyProtection="0"/>
    <xf numFmtId="0" fontId="23" fillId="32" borderId="0" applyNumberFormat="0" applyBorder="0" applyAlignment="0" applyProtection="0"/>
    <xf numFmtId="0" fontId="23" fillId="30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33" borderId="0" applyNumberFormat="0" applyBorder="0" applyAlignment="0" applyProtection="0"/>
    <xf numFmtId="0" fontId="23" fillId="26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23" fillId="34" borderId="0" applyNumberFormat="0" applyBorder="0" applyAlignment="0" applyProtection="0"/>
    <xf numFmtId="0" fontId="23" fillId="35" borderId="0" applyNumberFormat="0" applyBorder="0" applyAlignment="0" applyProtection="0"/>
    <xf numFmtId="0" fontId="23" fillId="36" borderId="0" applyNumberFormat="0" applyBorder="0" applyAlignment="0" applyProtection="0"/>
    <xf numFmtId="0" fontId="23" fillId="25" borderId="0" applyNumberFormat="0" applyBorder="0" applyAlignment="0" applyProtection="0"/>
    <xf numFmtId="0" fontId="23" fillId="33" borderId="0" applyNumberFormat="0" applyBorder="0" applyAlignment="0" applyProtection="0"/>
    <xf numFmtId="0" fontId="23" fillId="37" borderId="0" applyNumberFormat="0" applyBorder="0" applyAlignment="0" applyProtection="0"/>
    <xf numFmtId="0" fontId="24" fillId="21" borderId="0" applyNumberFormat="0" applyBorder="0" applyAlignment="0" applyProtection="0"/>
    <xf numFmtId="0" fontId="25" fillId="38" borderId="8" applyNumberFormat="0" applyAlignment="0" applyProtection="0"/>
    <xf numFmtId="0" fontId="26" fillId="39" borderId="9" applyNumberFormat="0" applyAlignment="0" applyProtection="0"/>
    <xf numFmtId="165" fontId="18" fillId="0" borderId="0" applyFont="0" applyFill="0" applyBorder="0" applyAlignment="0" applyProtection="0"/>
    <xf numFmtId="0" fontId="21" fillId="0" borderId="0" applyFill="0" applyBorder="0" applyProtection="0">
      <alignment vertical="center"/>
    </xf>
    <xf numFmtId="0" fontId="27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8" fillId="22" borderId="0" applyNumberFormat="0" applyBorder="0" applyAlignment="0" applyProtection="0"/>
    <xf numFmtId="0" fontId="29" fillId="0" borderId="10" applyNumberFormat="0" applyFill="0" applyAlignment="0" applyProtection="0"/>
    <xf numFmtId="0" fontId="30" fillId="0" borderId="11" applyNumberFormat="0" applyFill="0" applyAlignment="0" applyProtection="0"/>
    <xf numFmtId="0" fontId="31" fillId="0" borderId="12" applyNumberFormat="0" applyFill="0" applyAlignment="0" applyProtection="0"/>
    <xf numFmtId="0" fontId="3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14" fillId="28" borderId="8" applyNumberFormat="0" applyAlignment="0" applyProtection="0"/>
    <xf numFmtId="0" fontId="32" fillId="0" borderId="13" applyNumberFormat="0" applyFill="0" applyAlignment="0" applyProtection="0"/>
    <xf numFmtId="0" fontId="33" fillId="40" borderId="0" applyNumberFormat="0" applyBorder="0" applyAlignment="0" applyProtection="0"/>
    <xf numFmtId="0" fontId="15" fillId="0" borderId="0" applyNumberFormat="0" applyFill="0" applyBorder="0" applyAlignment="0" applyProtection="0"/>
    <xf numFmtId="0" fontId="19" fillId="0" borderId="0"/>
    <xf numFmtId="0" fontId="21" fillId="0" borderId="0" applyFill="0" applyBorder="0" applyProtection="0">
      <alignment vertical="center"/>
    </xf>
    <xf numFmtId="0" fontId="13" fillId="41" borderId="14" applyNumberFormat="0" applyFont="0" applyAlignment="0" applyProtection="0"/>
    <xf numFmtId="0" fontId="34" fillId="38" borderId="15" applyNumberFormat="0" applyAlignment="0" applyProtection="0"/>
    <xf numFmtId="0" fontId="21" fillId="0" borderId="0" applyFill="0" applyBorder="0" applyProtection="0">
      <alignment vertical="center"/>
    </xf>
    <xf numFmtId="0" fontId="35" fillId="0" borderId="0" applyNumberFormat="0" applyFill="0" applyBorder="0" applyAlignment="0" applyProtection="0"/>
    <xf numFmtId="0" fontId="36" fillId="0" borderId="16" applyNumberFormat="0" applyFill="0" applyAlignment="0" applyProtection="0"/>
    <xf numFmtId="0" fontId="37" fillId="0" borderId="0" applyNumberFormat="0" applyFill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4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5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36" borderId="0" applyNumberFormat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3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23" fillId="37" borderId="0" applyNumberFormat="0" applyBorder="0" applyAlignment="0" applyProtection="0"/>
    <xf numFmtId="0" fontId="14" fillId="28" borderId="8" applyNumberFormat="0" applyAlignment="0" applyProtection="0"/>
    <xf numFmtId="0" fontId="34" fillId="38" borderId="15" applyNumberFormat="0" applyAlignment="0" applyProtection="0"/>
    <xf numFmtId="0" fontId="34" fillId="38" borderId="15" applyNumberFormat="0" applyAlignment="0" applyProtection="0"/>
    <xf numFmtId="0" fontId="34" fillId="38" borderId="15" applyNumberFormat="0" applyAlignment="0" applyProtection="0"/>
    <xf numFmtId="0" fontId="25" fillId="38" borderId="8" applyNumberFormat="0" applyAlignment="0" applyProtection="0"/>
    <xf numFmtId="0" fontId="25" fillId="38" borderId="8" applyNumberFormat="0" applyAlignment="0" applyProtection="0"/>
    <xf numFmtId="0" fontId="25" fillId="38" borderId="8" applyNumberFormat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29" fillId="0" borderId="10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0" fillId="0" borderId="11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12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4" fontId="16" fillId="19" borderId="4" applyBorder="0">
      <alignment horizontal="right"/>
    </xf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26" fillId="39" borderId="9" applyNumberFormat="0" applyAlignment="0" applyProtection="0"/>
    <xf numFmtId="0" fontId="26" fillId="39" borderId="9" applyNumberFormat="0" applyAlignment="0" applyProtection="0"/>
    <xf numFmtId="0" fontId="26" fillId="39" borderId="9" applyNumberFormat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3" fillId="40" borderId="0" applyNumberFormat="0" applyBorder="0" applyAlignment="0" applyProtection="0"/>
    <xf numFmtId="0" fontId="33" fillId="40" borderId="0" applyNumberFormat="0" applyBorder="0" applyAlignment="0" applyProtection="0"/>
    <xf numFmtId="0" fontId="33" fillId="40" borderId="0" applyNumberFormat="0" applyBorder="0" applyAlignment="0" applyProtection="0"/>
    <xf numFmtId="49" fontId="16" fillId="0" borderId="0" applyBorder="0">
      <alignment vertical="top"/>
    </xf>
    <xf numFmtId="0" fontId="1" fillId="0" borderId="0"/>
    <xf numFmtId="0" fontId="8" fillId="0" borderId="0"/>
    <xf numFmtId="0" fontId="8" fillId="0" borderId="0"/>
    <xf numFmtId="0" fontId="9" fillId="0" borderId="0"/>
    <xf numFmtId="49" fontId="16" fillId="0" borderId="0" applyBorder="0">
      <alignment vertical="top"/>
    </xf>
    <xf numFmtId="0" fontId="9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9" fillId="0" borderId="0"/>
    <xf numFmtId="0" fontId="8" fillId="0" borderId="0"/>
    <xf numFmtId="0" fontId="1" fillId="0" borderId="0"/>
    <xf numFmtId="0" fontId="9" fillId="0" borderId="0" applyNumberFormat="0" applyFont="0" applyFill="0" applyBorder="0" applyAlignment="0" applyProtection="0">
      <alignment vertical="top"/>
    </xf>
    <xf numFmtId="0" fontId="13" fillId="0" borderId="0"/>
    <xf numFmtId="0" fontId="1" fillId="0" borderId="0"/>
    <xf numFmtId="0" fontId="1" fillId="0" borderId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6" fillId="2" borderId="1" applyNumberFormat="0" applyFont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2" fillId="0" borderId="13" applyNumberFormat="0" applyFill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16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16" fillId="0" borderId="0" applyFont="0" applyFill="0" applyBorder="0" applyAlignment="0" applyProtection="0"/>
    <xf numFmtId="166" fontId="38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" fontId="16" fillId="18" borderId="0" applyBorder="0">
      <alignment horizontal="right"/>
    </xf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</cellStyleXfs>
  <cellXfs count="343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2" fillId="0" borderId="0" xfId="0" applyFont="1"/>
    <xf numFmtId="0" fontId="4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0" fillId="0" borderId="4" xfId="0" applyFont="1" applyFill="1" applyBorder="1" applyAlignment="1">
      <alignment horizontal="left" vertical="center" wrapText="1"/>
    </xf>
    <xf numFmtId="0" fontId="0" fillId="0" borderId="0" xfId="0"/>
    <xf numFmtId="0" fontId="0" fillId="0" borderId="0" xfId="0" applyAlignment="1">
      <alignment horizontal="center"/>
    </xf>
    <xf numFmtId="0" fontId="5" fillId="42" borderId="4" xfId="0" applyFont="1" applyFill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0" fillId="0" borderId="17" xfId="0" applyBorder="1"/>
    <xf numFmtId="0" fontId="42" fillId="0" borderId="0" xfId="0" applyFont="1" applyAlignment="1">
      <alignment horizontal="center"/>
    </xf>
    <xf numFmtId="0" fontId="0" fillId="0" borderId="17" xfId="0" applyBorder="1" applyAlignment="1">
      <alignment horizontal="center"/>
    </xf>
    <xf numFmtId="0" fontId="43" fillId="0" borderId="0" xfId="0" applyFont="1" applyAlignment="1"/>
    <xf numFmtId="0" fontId="42" fillId="0" borderId="0" xfId="0" applyFont="1" applyBorder="1" applyAlignment="1"/>
    <xf numFmtId="0" fontId="43" fillId="0" borderId="0" xfId="0" applyFont="1" applyAlignment="1">
      <alignment horizontal="center"/>
    </xf>
    <xf numFmtId="0" fontId="42" fillId="0" borderId="0" xfId="0" applyFont="1" applyBorder="1" applyAlignment="1">
      <alignment horizontal="center"/>
    </xf>
    <xf numFmtId="169" fontId="0" fillId="0" borderId="0" xfId="0" applyNumberFormat="1"/>
    <xf numFmtId="168" fontId="0" fillId="0" borderId="0" xfId="0" applyNumberFormat="1"/>
    <xf numFmtId="0" fontId="5" fillId="0" borderId="4" xfId="0" applyFont="1" applyFill="1" applyBorder="1" applyAlignment="1">
      <alignment vertical="center" wrapText="1"/>
    </xf>
    <xf numFmtId="0" fontId="0" fillId="0" borderId="4" xfId="0" applyFill="1" applyBorder="1"/>
    <xf numFmtId="0" fontId="0" fillId="0" borderId="4" xfId="0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/>
    </xf>
    <xf numFmtId="2" fontId="0" fillId="0" borderId="0" xfId="0" applyNumberFormat="1"/>
    <xf numFmtId="0" fontId="41" fillId="0" borderId="25" xfId="0" applyFont="1" applyFill="1" applyBorder="1" applyAlignment="1">
      <alignment horizontal="center" vertical="center"/>
    </xf>
    <xf numFmtId="0" fontId="47" fillId="0" borderId="19" xfId="6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55" fillId="0" borderId="0" xfId="0" applyFont="1"/>
    <xf numFmtId="3" fontId="0" fillId="0" borderId="0" xfId="0" applyNumberFormat="1"/>
    <xf numFmtId="0" fontId="0" fillId="0" borderId="0" xfId="0" applyFill="1"/>
    <xf numFmtId="2" fontId="55" fillId="0" borderId="0" xfId="0" applyNumberFormat="1" applyFont="1"/>
    <xf numFmtId="0" fontId="43" fillId="0" borderId="0" xfId="0" applyFont="1" applyAlignment="1">
      <alignment horizontal="center"/>
    </xf>
    <xf numFmtId="0" fontId="42" fillId="0" borderId="0" xfId="0" applyFont="1" applyBorder="1" applyAlignment="1">
      <alignment horizontal="center"/>
    </xf>
    <xf numFmtId="0" fontId="39" fillId="0" borderId="0" xfId="6" applyFont="1" applyFill="1" applyBorder="1" applyAlignment="1">
      <alignment vertical="center"/>
    </xf>
    <xf numFmtId="0" fontId="39" fillId="0" borderId="0" xfId="6" applyFont="1" applyFill="1" applyBorder="1" applyAlignment="1">
      <alignment horizontal="center" vertical="center"/>
    </xf>
    <xf numFmtId="4" fontId="39" fillId="0" borderId="0" xfId="6" applyNumberFormat="1" applyFont="1" applyFill="1" applyBorder="1" applyAlignment="1">
      <alignment horizontal="center" vertical="center"/>
    </xf>
    <xf numFmtId="0" fontId="43" fillId="0" borderId="0" xfId="0" applyFont="1" applyAlignment="1">
      <alignment horizontal="center"/>
    </xf>
    <xf numFmtId="0" fontId="42" fillId="0" borderId="0" xfId="0" applyFont="1" applyBorder="1" applyAlignment="1">
      <alignment horizontal="center"/>
    </xf>
    <xf numFmtId="0" fontId="0" fillId="0" borderId="4" xfId="0" applyFill="1" applyBorder="1" applyAlignment="1">
      <alignment wrapText="1"/>
    </xf>
    <xf numFmtId="0" fontId="61" fillId="0" borderId="4" xfId="0" applyFont="1" applyFill="1" applyBorder="1" applyAlignment="1">
      <alignment horizontal="center" vertical="center" wrapText="1"/>
    </xf>
    <xf numFmtId="0" fontId="65" fillId="0" borderId="0" xfId="0" applyFont="1" applyFill="1"/>
    <xf numFmtId="0" fontId="66" fillId="43" borderId="4" xfId="0" quotePrefix="1" applyFont="1" applyFill="1" applyBorder="1"/>
    <xf numFmtId="0" fontId="67" fillId="0" borderId="0" xfId="0" quotePrefix="1" applyFont="1" applyFill="1" applyBorder="1"/>
    <xf numFmtId="16" fontId="0" fillId="0" borderId="0" xfId="0" applyNumberFormat="1" applyFill="1"/>
    <xf numFmtId="0" fontId="68" fillId="0" borderId="0" xfId="0" applyFont="1"/>
    <xf numFmtId="0" fontId="69" fillId="44" borderId="4" xfId="0" quotePrefix="1" applyFont="1" applyFill="1" applyBorder="1"/>
    <xf numFmtId="0" fontId="61" fillId="0" borderId="0" xfId="0" applyFont="1"/>
    <xf numFmtId="0" fontId="61" fillId="0" borderId="7" xfId="0" applyFont="1" applyFill="1" applyBorder="1" applyAlignment="1">
      <alignment horizontal="center" vertical="center" wrapText="1"/>
    </xf>
    <xf numFmtId="0" fontId="70" fillId="0" borderId="7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 wrapText="1"/>
    </xf>
    <xf numFmtId="49" fontId="72" fillId="0" borderId="4" xfId="0" applyNumberFormat="1" applyFont="1" applyBorder="1" applyAlignment="1">
      <alignment horizontal="center" vertical="center" wrapText="1"/>
    </xf>
    <xf numFmtId="0" fontId="73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49" fillId="0" borderId="0" xfId="0" applyFont="1" applyFill="1" applyBorder="1" applyAlignment="1">
      <alignment horizontal="center" vertical="center" wrapText="1"/>
    </xf>
    <xf numFmtId="3" fontId="74" fillId="0" borderId="0" xfId="0" applyNumberFormat="1" applyFont="1" applyFill="1" applyBorder="1" applyAlignment="1">
      <alignment horizontal="left" vertical="center"/>
    </xf>
    <xf numFmtId="1" fontId="49" fillId="0" borderId="0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left"/>
    </xf>
    <xf numFmtId="0" fontId="71" fillId="0" borderId="6" xfId="0" applyFont="1" applyFill="1" applyBorder="1" applyAlignment="1">
      <alignment horizontal="left" vertical="center" wrapText="1"/>
    </xf>
    <xf numFmtId="3" fontId="2" fillId="0" borderId="6" xfId="0" applyNumberFormat="1" applyFont="1" applyFill="1" applyBorder="1" applyAlignment="1">
      <alignment horizontal="left"/>
    </xf>
    <xf numFmtId="0" fontId="0" fillId="0" borderId="0" xfId="0" applyAlignment="1">
      <alignment horizontal="left"/>
    </xf>
    <xf numFmtId="0" fontId="49" fillId="0" borderId="0" xfId="0" applyFont="1" applyAlignment="1">
      <alignment horizontal="right" vertical="center"/>
    </xf>
    <xf numFmtId="0" fontId="49" fillId="0" borderId="0" xfId="0" applyFont="1" applyBorder="1" applyAlignment="1">
      <alignment horizontal="right" vertical="center"/>
    </xf>
    <xf numFmtId="0" fontId="49" fillId="0" borderId="0" xfId="0" applyFont="1" applyBorder="1" applyAlignment="1">
      <alignment horizontal="right" vertical="center" wrapText="1"/>
    </xf>
    <xf numFmtId="3" fontId="49" fillId="0" borderId="0" xfId="0" applyNumberFormat="1" applyFont="1" applyBorder="1" applyAlignment="1">
      <alignment horizontal="right" vertical="center"/>
    </xf>
    <xf numFmtId="0" fontId="0" fillId="0" borderId="0" xfId="0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vertical="center" wrapText="1"/>
    </xf>
    <xf numFmtId="0" fontId="2" fillId="0" borderId="0" xfId="0" applyFont="1" applyAlignment="1"/>
    <xf numFmtId="0" fontId="0" fillId="0" borderId="0" xfId="0" applyFill="1" applyAlignment="1">
      <alignment wrapText="1"/>
    </xf>
    <xf numFmtId="0" fontId="45" fillId="0" borderId="0" xfId="0" applyFont="1" applyFill="1" applyAlignment="1">
      <alignment horizontal="right" wrapText="1"/>
    </xf>
    <xf numFmtId="0" fontId="45" fillId="0" borderId="0" xfId="0" applyFont="1" applyFill="1"/>
    <xf numFmtId="0" fontId="45" fillId="0" borderId="17" xfId="0" applyFont="1" applyFill="1" applyBorder="1"/>
    <xf numFmtId="0" fontId="45" fillId="0" borderId="0" xfId="0" applyFont="1" applyFill="1" applyAlignment="1">
      <alignment wrapText="1"/>
    </xf>
    <xf numFmtId="0" fontId="45" fillId="0" borderId="0" xfId="0" applyFont="1" applyFill="1" applyAlignment="1">
      <alignment horizontal="center"/>
    </xf>
    <xf numFmtId="0" fontId="48" fillId="0" borderId="0" xfId="0" applyFont="1" applyFill="1" applyAlignment="1">
      <alignment horizontal="center"/>
    </xf>
    <xf numFmtId="0" fontId="41" fillId="0" borderId="24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vertical="center" wrapText="1"/>
    </xf>
    <xf numFmtId="0" fontId="10" fillId="0" borderId="29" xfId="0" applyFont="1" applyFill="1" applyBorder="1" applyAlignment="1">
      <alignment horizontal="center" vertical="center"/>
    </xf>
    <xf numFmtId="0" fontId="41" fillId="0" borderId="30" xfId="0" applyFont="1" applyFill="1" applyBorder="1" applyAlignment="1">
      <alignment vertical="center"/>
    </xf>
    <xf numFmtId="170" fontId="2" fillId="0" borderId="0" xfId="0" applyNumberFormat="1" applyFont="1" applyFill="1"/>
    <xf numFmtId="0" fontId="39" fillId="0" borderId="32" xfId="6" applyFont="1" applyFill="1" applyBorder="1" applyAlignment="1">
      <alignment vertical="center"/>
    </xf>
    <xf numFmtId="0" fontId="39" fillId="0" borderId="27" xfId="6" applyFont="1" applyFill="1" applyBorder="1" applyAlignment="1">
      <alignment vertical="center"/>
    </xf>
    <xf numFmtId="0" fontId="39" fillId="0" borderId="29" xfId="6" applyFont="1" applyFill="1" applyBorder="1" applyAlignment="1">
      <alignment vertical="center"/>
    </xf>
    <xf numFmtId="2" fontId="4" fillId="0" borderId="4" xfId="0" applyNumberFormat="1" applyFont="1" applyFill="1" applyBorder="1" applyAlignment="1">
      <alignment vertical="center" wrapText="1"/>
    </xf>
    <xf numFmtId="0" fontId="46" fillId="0" borderId="3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vertical="center" wrapText="1"/>
    </xf>
    <xf numFmtId="168" fontId="4" fillId="0" borderId="4" xfId="0" applyNumberFormat="1" applyFont="1" applyFill="1" applyBorder="1" applyAlignment="1">
      <alignment vertical="center" wrapText="1"/>
    </xf>
    <xf numFmtId="0" fontId="80" fillId="0" borderId="4" xfId="0" applyFont="1" applyFill="1" applyBorder="1" applyAlignment="1">
      <alignment horizontal="righ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4" fontId="5" fillId="0" borderId="5" xfId="0" applyNumberFormat="1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4" fontId="52" fillId="0" borderId="18" xfId="0" applyNumberFormat="1" applyFont="1" applyFill="1" applyBorder="1" applyAlignment="1">
      <alignment vertical="center" wrapText="1"/>
    </xf>
    <xf numFmtId="4" fontId="6" fillId="0" borderId="4" xfId="0" applyNumberFormat="1" applyFont="1" applyFill="1" applyBorder="1" applyAlignment="1">
      <alignment vertical="center" wrapText="1"/>
    </xf>
    <xf numFmtId="4" fontId="7" fillId="0" borderId="4" xfId="0" applyNumberFormat="1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right" wrapText="1"/>
    </xf>
    <xf numFmtId="0" fontId="0" fillId="0" borderId="4" xfId="0" applyBorder="1"/>
    <xf numFmtId="0" fontId="7" fillId="0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right"/>
    </xf>
    <xf numFmtId="0" fontId="2" fillId="0" borderId="4" xfId="0" applyFont="1" applyBorder="1"/>
    <xf numFmtId="2" fontId="44" fillId="0" borderId="4" xfId="0" applyNumberFormat="1" applyFont="1" applyBorder="1" applyAlignment="1">
      <alignment horizontal="center"/>
    </xf>
    <xf numFmtId="167" fontId="44" fillId="0" borderId="4" xfId="0" applyNumberFormat="1" applyFont="1" applyBorder="1" applyAlignment="1">
      <alignment horizontal="center"/>
    </xf>
    <xf numFmtId="167" fontId="49" fillId="0" borderId="4" xfId="0" applyNumberFormat="1" applyFont="1" applyBorder="1" applyAlignment="1">
      <alignment horizontal="center"/>
    </xf>
    <xf numFmtId="0" fontId="5" fillId="46" borderId="7" xfId="0" applyFont="1" applyFill="1" applyBorder="1" applyAlignment="1">
      <alignment vertical="center" wrapText="1"/>
    </xf>
    <xf numFmtId="2" fontId="0" fillId="0" borderId="4" xfId="0" applyNumberFormat="1" applyBorder="1"/>
    <xf numFmtId="1" fontId="6" fillId="47" borderId="4" xfId="0" applyNumberFormat="1" applyFont="1" applyFill="1" applyBorder="1" applyAlignment="1">
      <alignment horizontal="right" vertical="center" wrapText="1"/>
    </xf>
    <xf numFmtId="3" fontId="79" fillId="48" borderId="4" xfId="0" applyNumberFormat="1" applyFont="1" applyFill="1" applyBorder="1" applyAlignment="1">
      <alignment horizontal="left" vertical="center"/>
    </xf>
    <xf numFmtId="4" fontId="5" fillId="45" borderId="7" xfId="0" applyNumberFormat="1" applyFont="1" applyFill="1" applyBorder="1" applyAlignment="1">
      <alignment vertical="center" wrapText="1"/>
    </xf>
    <xf numFmtId="2" fontId="6" fillId="45" borderId="4" xfId="0" applyNumberFormat="1" applyFont="1" applyFill="1" applyBorder="1" applyAlignment="1">
      <alignment horizontal="right" vertical="center" wrapText="1"/>
    </xf>
    <xf numFmtId="0" fontId="46" fillId="0" borderId="4" xfId="0" applyFont="1" applyFill="1" applyBorder="1" applyAlignment="1">
      <alignment horizontal="left" vertical="center" wrapText="1"/>
    </xf>
    <xf numFmtId="0" fontId="69" fillId="44" borderId="0" xfId="0" quotePrefix="1" applyFont="1" applyFill="1" applyBorder="1"/>
    <xf numFmtId="0" fontId="84" fillId="0" borderId="0" xfId="0" applyFont="1" applyFill="1"/>
    <xf numFmtId="0" fontId="84" fillId="44" borderId="0" xfId="0" quotePrefix="1" applyFont="1" applyFill="1" applyBorder="1"/>
    <xf numFmtId="0" fontId="84" fillId="0" borderId="0" xfId="0" quotePrefix="1" applyFont="1" applyFill="1" applyBorder="1"/>
    <xf numFmtId="0" fontId="83" fillId="0" borderId="0" xfId="0" applyFont="1" applyFill="1"/>
    <xf numFmtId="0" fontId="85" fillId="0" borderId="0" xfId="0" applyFont="1"/>
    <xf numFmtId="0" fontId="73" fillId="0" borderId="4" xfId="0" applyFont="1" applyFill="1" applyBorder="1" applyAlignment="1">
      <alignment horizontal="center" vertical="center" wrapText="1"/>
    </xf>
    <xf numFmtId="0" fontId="86" fillId="43" borderId="4" xfId="0" applyFont="1" applyFill="1" applyBorder="1" applyAlignment="1">
      <alignment horizontal="center" vertical="center"/>
    </xf>
    <xf numFmtId="0" fontId="44" fillId="0" borderId="0" xfId="0" applyFont="1" applyAlignment="1">
      <alignment vertical="center" wrapText="1"/>
    </xf>
    <xf numFmtId="1" fontId="49" fillId="0" borderId="4" xfId="0" applyNumberFormat="1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1" fillId="45" borderId="0" xfId="0" applyFont="1" applyFill="1" applyAlignment="1">
      <alignment horizontal="center" vertical="center"/>
    </xf>
    <xf numFmtId="0" fontId="61" fillId="0" borderId="0" xfId="0" applyFont="1" applyBorder="1" applyAlignment="1">
      <alignment horizontal="center" vertical="center" wrapText="1"/>
    </xf>
    <xf numFmtId="3" fontId="59" fillId="49" borderId="0" xfId="0" applyNumberFormat="1" applyFont="1" applyFill="1" applyBorder="1" applyAlignment="1">
      <alignment horizontal="right" vertical="center" wrapText="1"/>
    </xf>
    <xf numFmtId="3" fontId="75" fillId="49" borderId="0" xfId="0" applyNumberFormat="1" applyFont="1" applyFill="1" applyBorder="1" applyAlignment="1">
      <alignment horizontal="right" vertical="center"/>
    </xf>
    <xf numFmtId="3" fontId="59" fillId="49" borderId="0" xfId="0" applyNumberFormat="1" applyFont="1" applyFill="1" applyBorder="1" applyAlignment="1">
      <alignment horizontal="right" vertical="center"/>
    </xf>
    <xf numFmtId="3" fontId="74" fillId="0" borderId="4" xfId="0" applyNumberFormat="1" applyFont="1" applyFill="1" applyBorder="1" applyAlignment="1">
      <alignment horizontal="center" vertical="center"/>
    </xf>
    <xf numFmtId="3" fontId="74" fillId="0" borderId="4" xfId="0" applyNumberFormat="1" applyFont="1" applyFill="1" applyBorder="1" applyAlignment="1">
      <alignment horizontal="center" vertical="center" wrapText="1"/>
    </xf>
    <xf numFmtId="0" fontId="86" fillId="0" borderId="4" xfId="0" applyFont="1" applyFill="1" applyBorder="1" applyAlignment="1">
      <alignment horizontal="center" vertical="center"/>
    </xf>
    <xf numFmtId="0" fontId="86" fillId="0" borderId="0" xfId="0" applyFont="1" applyFill="1" applyBorder="1" applyAlignment="1">
      <alignment horizontal="center" vertical="center"/>
    </xf>
    <xf numFmtId="0" fontId="0" fillId="0" borderId="0" xfId="0" applyBorder="1"/>
    <xf numFmtId="2" fontId="0" fillId="0" borderId="0" xfId="0" applyNumberFormat="1" applyBorder="1"/>
    <xf numFmtId="0" fontId="62" fillId="0" borderId="7" xfId="0" applyFont="1" applyFill="1" applyBorder="1" applyAlignment="1">
      <alignment horizontal="center" vertical="center" wrapText="1"/>
    </xf>
    <xf numFmtId="0" fontId="87" fillId="0" borderId="35" xfId="0" applyFont="1" applyFill="1" applyBorder="1" applyAlignment="1">
      <alignment horizontal="center" vertical="center" wrapText="1"/>
    </xf>
    <xf numFmtId="0" fontId="43" fillId="0" borderId="0" xfId="0" applyFont="1" applyAlignment="1">
      <alignment horizontal="center"/>
    </xf>
    <xf numFmtId="0" fontId="42" fillId="0" borderId="0" xfId="0" applyFont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51" fillId="45" borderId="0" xfId="0" applyFont="1" applyFill="1" applyAlignment="1">
      <alignment horizontal="center" vertical="center"/>
    </xf>
    <xf numFmtId="0" fontId="60" fillId="0" borderId="0" xfId="0" applyFont="1" applyFill="1" applyAlignment="1">
      <alignment horizontal="center" vertical="center"/>
    </xf>
    <xf numFmtId="2" fontId="40" fillId="0" borderId="4" xfId="0" applyNumberFormat="1" applyFont="1" applyFill="1" applyBorder="1" applyAlignment="1">
      <alignment vertical="center"/>
    </xf>
    <xf numFmtId="2" fontId="89" fillId="0" borderId="4" xfId="0" applyNumberFormat="1" applyFont="1" applyFill="1" applyBorder="1" applyAlignment="1">
      <alignment vertical="center"/>
    </xf>
    <xf numFmtId="2" fontId="2" fillId="0" borderId="4" xfId="0" applyNumberFormat="1" applyFont="1" applyFill="1" applyBorder="1"/>
    <xf numFmtId="167" fontId="4" fillId="0" borderId="4" xfId="0" applyNumberFormat="1" applyFont="1" applyFill="1" applyBorder="1" applyAlignment="1">
      <alignment vertical="center" wrapText="1"/>
    </xf>
    <xf numFmtId="0" fontId="41" fillId="0" borderId="27" xfId="0" applyFont="1" applyFill="1" applyBorder="1" applyAlignment="1">
      <alignment horizontal="center" vertical="center"/>
    </xf>
    <xf numFmtId="0" fontId="41" fillId="0" borderId="4" xfId="0" applyFont="1" applyFill="1" applyBorder="1" applyAlignment="1">
      <alignment vertical="center" wrapText="1"/>
    </xf>
    <xf numFmtId="2" fontId="6" fillId="0" borderId="4" xfId="0" applyNumberFormat="1" applyFont="1" applyFill="1" applyBorder="1" applyAlignment="1">
      <alignment vertical="center" wrapText="1"/>
    </xf>
    <xf numFmtId="0" fontId="44" fillId="0" borderId="4" xfId="0" applyFont="1" applyFill="1" applyBorder="1"/>
    <xf numFmtId="0" fontId="39" fillId="0" borderId="36" xfId="6" applyFont="1" applyFill="1" applyBorder="1" applyAlignment="1">
      <alignment horizontal="center" vertical="center"/>
    </xf>
    <xf numFmtId="0" fontId="39" fillId="0" borderId="33" xfId="6" applyFont="1" applyFill="1" applyBorder="1" applyAlignment="1">
      <alignment horizontal="center" vertical="center"/>
    </xf>
    <xf numFmtId="0" fontId="39" fillId="0" borderId="34" xfId="6" applyFont="1" applyFill="1" applyBorder="1" applyAlignment="1">
      <alignment horizontal="center" vertical="center"/>
    </xf>
    <xf numFmtId="0" fontId="39" fillId="0" borderId="42" xfId="6" applyFont="1" applyFill="1" applyBorder="1" applyAlignment="1">
      <alignment vertical="center" wrapText="1"/>
    </xf>
    <xf numFmtId="0" fontId="39" fillId="0" borderId="18" xfId="6" applyFont="1" applyFill="1" applyBorder="1" applyAlignment="1">
      <alignment vertical="center" wrapText="1"/>
    </xf>
    <xf numFmtId="0" fontId="47" fillId="0" borderId="42" xfId="6" applyFont="1" applyFill="1" applyBorder="1" applyAlignment="1">
      <alignment vertical="center" wrapText="1"/>
    </xf>
    <xf numFmtId="0" fontId="47" fillId="0" borderId="22" xfId="6" applyFont="1" applyFill="1" applyBorder="1" applyAlignment="1">
      <alignment horizontal="center" vertical="center"/>
    </xf>
    <xf numFmtId="0" fontId="60" fillId="0" borderId="5" xfId="0" applyFont="1" applyBorder="1" applyAlignment="1">
      <alignment horizontal="center" vertical="center"/>
    </xf>
    <xf numFmtId="0" fontId="60" fillId="0" borderId="4" xfId="0" applyFont="1" applyBorder="1" applyAlignment="1">
      <alignment horizontal="center" vertical="center"/>
    </xf>
    <xf numFmtId="167" fontId="90" fillId="0" borderId="4" xfId="0" applyNumberFormat="1" applyFont="1" applyBorder="1" applyAlignment="1">
      <alignment horizontal="center" vertical="center"/>
    </xf>
    <xf numFmtId="0" fontId="51" fillId="0" borderId="4" xfId="0" applyFont="1" applyBorder="1" applyAlignment="1">
      <alignment horizontal="center" vertical="center"/>
    </xf>
    <xf numFmtId="49" fontId="41" fillId="0" borderId="4" xfId="0" applyNumberFormat="1" applyFont="1" applyFill="1" applyBorder="1" applyAlignment="1">
      <alignment horizontal="center" vertical="center" wrapText="1"/>
    </xf>
    <xf numFmtId="0" fontId="41" fillId="0" borderId="4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0" fillId="0" borderId="4" xfId="0" applyNumberFormat="1" applyFont="1" applyFill="1" applyBorder="1" applyAlignment="1">
      <alignment horizontal="left" vertical="center" wrapText="1"/>
    </xf>
    <xf numFmtId="2" fontId="0" fillId="0" borderId="4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left" vertical="center" wrapText="1"/>
    </xf>
    <xf numFmtId="49" fontId="8" fillId="0" borderId="4" xfId="0" applyNumberFormat="1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 wrapText="1"/>
    </xf>
    <xf numFmtId="49" fontId="0" fillId="0" borderId="7" xfId="0" applyNumberFormat="1" applyFont="1" applyFill="1" applyBorder="1" applyAlignment="1">
      <alignment horizontal="left" vertical="center" wrapText="1"/>
    </xf>
    <xf numFmtId="2" fontId="0" fillId="0" borderId="7" xfId="0" applyNumberFormat="1" applyFont="1" applyFill="1" applyBorder="1" applyAlignment="1">
      <alignment horizontal="center" vertical="center"/>
    </xf>
    <xf numFmtId="1" fontId="49" fillId="0" borderId="4" xfId="0" applyNumberFormat="1" applyFont="1" applyFill="1" applyBorder="1"/>
    <xf numFmtId="167" fontId="49" fillId="0" borderId="4" xfId="0" applyNumberFormat="1" applyFont="1" applyFill="1" applyBorder="1"/>
    <xf numFmtId="2" fontId="2" fillId="0" borderId="4" xfId="0" applyNumberFormat="1" applyFont="1" applyFill="1" applyBorder="1" applyAlignment="1">
      <alignment horizontal="right" vertical="center"/>
    </xf>
    <xf numFmtId="167" fontId="49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wrapText="1"/>
    </xf>
    <xf numFmtId="0" fontId="7" fillId="0" borderId="0" xfId="0" applyFont="1" applyFill="1" applyBorder="1" applyAlignment="1">
      <alignment horizontal="center" vertical="center" wrapText="1"/>
    </xf>
    <xf numFmtId="2" fontId="91" fillId="0" borderId="5" xfId="0" applyNumberFormat="1" applyFont="1" applyBorder="1" applyAlignment="1">
      <alignment horizontal="center" vertical="center"/>
    </xf>
    <xf numFmtId="4" fontId="95" fillId="0" borderId="4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11" fillId="0" borderId="0" xfId="0" applyFont="1" applyFill="1" applyAlignment="1"/>
    <xf numFmtId="0" fontId="1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horizontal="right"/>
    </xf>
    <xf numFmtId="0" fontId="53" fillId="0" borderId="0" xfId="0" applyFont="1" applyFill="1" applyAlignment="1">
      <alignment horizontal="center"/>
    </xf>
    <xf numFmtId="2" fontId="5" fillId="0" borderId="4" xfId="0" applyNumberFormat="1" applyFont="1" applyFill="1" applyBorder="1" applyAlignment="1">
      <alignment vertical="center" wrapText="1"/>
    </xf>
    <xf numFmtId="0" fontId="56" fillId="0" borderId="0" xfId="0" applyFont="1" applyFill="1"/>
    <xf numFmtId="0" fontId="55" fillId="0" borderId="0" xfId="0" applyFont="1" applyFill="1"/>
    <xf numFmtId="4" fontId="5" fillId="0" borderId="7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2" fontId="6" fillId="0" borderId="4" xfId="0" applyNumberFormat="1" applyFont="1" applyFill="1" applyBorder="1" applyAlignment="1">
      <alignment horizontal="right" vertical="center" wrapText="1"/>
    </xf>
    <xf numFmtId="1" fontId="6" fillId="0" borderId="4" xfId="0" applyNumberFormat="1" applyFont="1" applyFill="1" applyBorder="1" applyAlignment="1">
      <alignment horizontal="right" vertical="center" wrapText="1"/>
    </xf>
    <xf numFmtId="0" fontId="82" fillId="0" borderId="18" xfId="0" applyFont="1" applyFill="1" applyBorder="1" applyAlignment="1">
      <alignment horizontal="right" vertical="center" wrapText="1"/>
    </xf>
    <xf numFmtId="0" fontId="54" fillId="0" borderId="0" xfId="0" applyFont="1" applyFill="1"/>
    <xf numFmtId="0" fontId="0" fillId="0" borderId="0" xfId="0" applyFont="1" applyFill="1"/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vertical="center" wrapText="1"/>
    </xf>
    <xf numFmtId="17" fontId="4" fillId="0" borderId="4" xfId="0" applyNumberFormat="1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right" vertical="center" wrapText="1"/>
    </xf>
    <xf numFmtId="0" fontId="95" fillId="0" borderId="4" xfId="0" applyFont="1" applyFill="1" applyBorder="1" applyAlignment="1">
      <alignment horizontal="right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4" xfId="0" applyFill="1" applyBorder="1" applyAlignment="1">
      <alignment horizontal="right" wrapText="1"/>
    </xf>
    <xf numFmtId="2" fontId="44" fillId="0" borderId="4" xfId="0" applyNumberFormat="1" applyFont="1" applyFill="1" applyBorder="1" applyAlignment="1">
      <alignment horizontal="center"/>
    </xf>
    <xf numFmtId="167" fontId="49" fillId="0" borderId="4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right"/>
    </xf>
    <xf numFmtId="0" fontId="2" fillId="0" borderId="4" xfId="0" applyFont="1" applyFill="1" applyBorder="1"/>
    <xf numFmtId="167" fontId="44" fillId="0" borderId="4" xfId="0" applyNumberFormat="1" applyFont="1" applyFill="1" applyBorder="1" applyAlignment="1">
      <alignment horizontal="center"/>
    </xf>
    <xf numFmtId="0" fontId="0" fillId="0" borderId="17" xfId="0" applyFill="1" applyBorder="1"/>
    <xf numFmtId="0" fontId="0" fillId="0" borderId="0" xfId="0" applyFill="1" applyBorder="1"/>
    <xf numFmtId="0" fontId="0" fillId="0" borderId="17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0" fontId="2" fillId="0" borderId="0" xfId="0" applyFont="1" applyFill="1"/>
    <xf numFmtId="2" fontId="80" fillId="0" borderId="4" xfId="0" applyNumberFormat="1" applyFont="1" applyFill="1" applyBorder="1" applyAlignment="1">
      <alignment vertical="center" wrapText="1"/>
    </xf>
    <xf numFmtId="2" fontId="0" fillId="0" borderId="0" xfId="0" applyNumberFormat="1" applyFill="1"/>
    <xf numFmtId="4" fontId="58" fillId="0" borderId="24" xfId="0" applyNumberFormat="1" applyFont="1" applyFill="1" applyBorder="1" applyAlignment="1">
      <alignment horizontal="center" vertical="center"/>
    </xf>
    <xf numFmtId="4" fontId="39" fillId="0" borderId="26" xfId="6" applyNumberFormat="1" applyFont="1" applyFill="1" applyBorder="1" applyAlignment="1">
      <alignment horizontal="center" vertical="center"/>
    </xf>
    <xf numFmtId="0" fontId="60" fillId="0" borderId="5" xfId="0" applyFont="1" applyFill="1" applyBorder="1" applyAlignment="1">
      <alignment horizontal="center" vertical="center"/>
    </xf>
    <xf numFmtId="2" fontId="91" fillId="0" borderId="5" xfId="0" applyNumberFormat="1" applyFont="1" applyFill="1" applyBorder="1" applyAlignment="1">
      <alignment horizontal="center" vertical="center"/>
    </xf>
    <xf numFmtId="4" fontId="58" fillId="0" borderId="27" xfId="0" applyNumberFormat="1" applyFont="1" applyFill="1" applyBorder="1" applyAlignment="1">
      <alignment horizontal="center" vertical="center"/>
    </xf>
    <xf numFmtId="4" fontId="39" fillId="0" borderId="28" xfId="6" applyNumberFormat="1" applyFont="1" applyFill="1" applyBorder="1" applyAlignment="1">
      <alignment horizontal="center" vertical="center"/>
    </xf>
    <xf numFmtId="1" fontId="60" fillId="0" borderId="4" xfId="0" applyNumberFormat="1" applyFont="1" applyFill="1" applyBorder="1" applyAlignment="1">
      <alignment horizontal="center" vertical="center"/>
    </xf>
    <xf numFmtId="167" fontId="90" fillId="0" borderId="4" xfId="0" applyNumberFormat="1" applyFont="1" applyFill="1" applyBorder="1" applyAlignment="1">
      <alignment horizontal="center" vertical="center"/>
    </xf>
    <xf numFmtId="4" fontId="58" fillId="0" borderId="29" xfId="0" applyNumberFormat="1" applyFont="1" applyFill="1" applyBorder="1" applyAlignment="1">
      <alignment horizontal="center" vertical="center"/>
    </xf>
    <xf numFmtId="4" fontId="39" fillId="0" borderId="31" xfId="6" applyNumberFormat="1" applyFont="1" applyFill="1" applyBorder="1" applyAlignment="1">
      <alignment horizontal="center" vertical="center"/>
    </xf>
    <xf numFmtId="0" fontId="51" fillId="0" borderId="4" xfId="0" applyFont="1" applyFill="1" applyBorder="1" applyAlignment="1">
      <alignment horizontal="center" vertical="center"/>
    </xf>
    <xf numFmtId="14" fontId="41" fillId="0" borderId="25" xfId="0" applyNumberFormat="1" applyFont="1" applyFill="1" applyBorder="1" applyAlignment="1">
      <alignment horizontal="center" vertical="center"/>
    </xf>
    <xf numFmtId="0" fontId="41" fillId="0" borderId="26" xfId="0" applyFont="1" applyFill="1" applyBorder="1" applyAlignment="1">
      <alignment horizontal="center" vertical="center" wrapText="1"/>
    </xf>
    <xf numFmtId="3" fontId="10" fillId="0" borderId="4" xfId="0" applyNumberFormat="1" applyFont="1" applyFill="1" applyBorder="1" applyAlignment="1">
      <alignment vertical="center"/>
    </xf>
    <xf numFmtId="14" fontId="10" fillId="0" borderId="4" xfId="0" applyNumberFormat="1" applyFont="1" applyFill="1" applyBorder="1" applyAlignment="1">
      <alignment horizontal="center" vertical="center"/>
    </xf>
    <xf numFmtId="3" fontId="10" fillId="0" borderId="28" xfId="0" applyNumberFormat="1" applyFont="1" applyFill="1" applyBorder="1" applyAlignment="1">
      <alignment vertical="center"/>
    </xf>
    <xf numFmtId="3" fontId="46" fillId="0" borderId="4" xfId="0" applyNumberFormat="1" applyFont="1" applyFill="1" applyBorder="1" applyAlignment="1">
      <alignment vertical="center"/>
    </xf>
    <xf numFmtId="3" fontId="57" fillId="0" borderId="4" xfId="0" applyNumberFormat="1" applyFont="1" applyFill="1" applyBorder="1" applyAlignment="1">
      <alignment vertical="center"/>
    </xf>
    <xf numFmtId="14" fontId="41" fillId="0" borderId="4" xfId="0" applyNumberFormat="1" applyFont="1" applyFill="1" applyBorder="1" applyAlignment="1">
      <alignment horizontal="center" vertical="center"/>
    </xf>
    <xf numFmtId="3" fontId="41" fillId="0" borderId="28" xfId="0" applyNumberFormat="1" applyFont="1" applyFill="1" applyBorder="1" applyAlignment="1">
      <alignment vertical="center"/>
    </xf>
    <xf numFmtId="3" fontId="41" fillId="0" borderId="30" xfId="0" applyNumberFormat="1" applyFont="1" applyFill="1" applyBorder="1" applyAlignment="1">
      <alignment vertical="center"/>
    </xf>
    <xf numFmtId="14" fontId="10" fillId="0" borderId="30" xfId="0" applyNumberFormat="1" applyFont="1" applyFill="1" applyBorder="1" applyAlignment="1">
      <alignment horizontal="center" vertical="center"/>
    </xf>
    <xf numFmtId="3" fontId="41" fillId="0" borderId="39" xfId="0" applyNumberFormat="1" applyFont="1" applyFill="1" applyBorder="1" applyAlignment="1">
      <alignment vertical="center"/>
    </xf>
    <xf numFmtId="167" fontId="49" fillId="0" borderId="41" xfId="0" applyNumberFormat="1" applyFont="1" applyFill="1" applyBorder="1"/>
    <xf numFmtId="0" fontId="81" fillId="0" borderId="0" xfId="0" applyFont="1" applyFill="1" applyBorder="1" applyAlignment="1">
      <alignment wrapText="1"/>
    </xf>
    <xf numFmtId="0" fontId="62" fillId="0" borderId="4" xfId="0" applyFont="1" applyFill="1" applyBorder="1" applyAlignment="1">
      <alignment horizontal="center" vertical="center" wrapText="1"/>
    </xf>
    <xf numFmtId="0" fontId="75" fillId="0" borderId="4" xfId="0" applyFont="1" applyFill="1" applyBorder="1" applyAlignment="1">
      <alignment horizontal="center" vertical="center"/>
    </xf>
    <xf numFmtId="0" fontId="75" fillId="0" borderId="4" xfId="0" applyFont="1" applyFill="1" applyBorder="1" applyAlignment="1">
      <alignment vertical="center" wrapText="1"/>
    </xf>
    <xf numFmtId="3" fontId="75" fillId="0" borderId="4" xfId="0" applyNumberFormat="1" applyFont="1" applyFill="1" applyBorder="1" applyAlignment="1">
      <alignment vertical="center"/>
    </xf>
    <xf numFmtId="0" fontId="59" fillId="0" borderId="4" xfId="0" quotePrefix="1" applyFont="1" applyFill="1" applyBorder="1" applyAlignment="1">
      <alignment horizontal="center" vertical="center"/>
    </xf>
    <xf numFmtId="0" fontId="76" fillId="0" borderId="4" xfId="0" applyFont="1" applyFill="1" applyBorder="1" applyAlignment="1">
      <alignment horizontal="center" vertical="center"/>
    </xf>
    <xf numFmtId="0" fontId="59" fillId="0" borderId="4" xfId="0" applyFont="1" applyFill="1" applyBorder="1" applyAlignment="1">
      <alignment horizontal="center" vertical="center" wrapText="1"/>
    </xf>
    <xf numFmtId="3" fontId="59" fillId="0" borderId="4" xfId="0" applyNumberFormat="1" applyFont="1" applyFill="1" applyBorder="1" applyAlignment="1">
      <alignment horizontal="right" vertical="center" wrapText="1"/>
    </xf>
    <xf numFmtId="3" fontId="76" fillId="0" borderId="4" xfId="0" applyNumberFormat="1" applyFont="1" applyFill="1" applyBorder="1" applyAlignment="1">
      <alignment vertical="center"/>
    </xf>
    <xf numFmtId="3" fontId="59" fillId="0" borderId="4" xfId="0" applyNumberFormat="1" applyFont="1" applyFill="1" applyBorder="1" applyAlignment="1">
      <alignment horizontal="center" vertical="center" wrapText="1"/>
    </xf>
    <xf numFmtId="0" fontId="76" fillId="0" borderId="4" xfId="0" applyFont="1" applyFill="1" applyBorder="1" applyAlignment="1">
      <alignment vertical="center" wrapText="1"/>
    </xf>
    <xf numFmtId="3" fontId="75" fillId="0" borderId="4" xfId="0" applyNumberFormat="1" applyFont="1" applyFill="1" applyBorder="1" applyAlignment="1">
      <alignment horizontal="right" vertical="center"/>
    </xf>
    <xf numFmtId="0" fontId="59" fillId="0" borderId="4" xfId="0" applyFont="1" applyFill="1" applyBorder="1" applyAlignment="1">
      <alignment horizontal="center" vertical="center"/>
    </xf>
    <xf numFmtId="0" fontId="59" fillId="0" borderId="5" xfId="0" quotePrefix="1" applyFont="1" applyFill="1" applyBorder="1" applyAlignment="1">
      <alignment horizontal="center" vertical="center"/>
    </xf>
    <xf numFmtId="0" fontId="59" fillId="0" borderId="5" xfId="0" applyFont="1" applyFill="1" applyBorder="1" applyAlignment="1">
      <alignment horizontal="center" vertical="center"/>
    </xf>
    <xf numFmtId="0" fontId="59" fillId="0" borderId="4" xfId="0" applyFont="1" applyFill="1" applyBorder="1" applyAlignment="1">
      <alignment vertical="center" wrapText="1"/>
    </xf>
    <xf numFmtId="3" fontId="59" fillId="0" borderId="4" xfId="0" applyNumberFormat="1" applyFont="1" applyFill="1" applyBorder="1" applyAlignment="1">
      <alignment vertical="center"/>
    </xf>
    <xf numFmtId="3" fontId="59" fillId="0" borderId="4" xfId="0" applyNumberFormat="1" applyFont="1" applyFill="1" applyBorder="1" applyAlignment="1">
      <alignment horizontal="right" vertical="center"/>
    </xf>
    <xf numFmtId="0" fontId="59" fillId="0" borderId="4" xfId="314" quotePrefix="1" applyFont="1" applyFill="1" applyBorder="1" applyAlignment="1">
      <alignment horizontal="center" vertical="center"/>
    </xf>
    <xf numFmtId="0" fontId="59" fillId="0" borderId="4" xfId="314" quotePrefix="1" applyFont="1" applyFill="1" applyBorder="1" applyAlignment="1">
      <alignment vertical="center" wrapText="1"/>
    </xf>
    <xf numFmtId="3" fontId="59" fillId="0" borderId="4" xfId="314" applyNumberFormat="1" applyFont="1" applyFill="1" applyBorder="1" applyAlignment="1">
      <alignment vertical="center"/>
    </xf>
    <xf numFmtId="1" fontId="59" fillId="0" borderId="4" xfId="0" applyNumberFormat="1" applyFont="1" applyFill="1" applyBorder="1" applyAlignment="1">
      <alignment horizontal="center" vertical="center" wrapText="1"/>
    </xf>
    <xf numFmtId="0" fontId="53" fillId="0" borderId="4" xfId="0" applyFont="1" applyFill="1" applyBorder="1" applyAlignment="1">
      <alignment horizontal="center" vertical="center" wrapText="1"/>
    </xf>
    <xf numFmtId="3" fontId="77" fillId="0" borderId="4" xfId="0" applyNumberFormat="1" applyFont="1" applyFill="1" applyBorder="1" applyAlignment="1">
      <alignment vertical="center"/>
    </xf>
    <xf numFmtId="1" fontId="53" fillId="0" borderId="4" xfId="0" applyNumberFormat="1" applyFont="1" applyFill="1" applyBorder="1" applyAlignment="1">
      <alignment horizontal="center" vertical="center" wrapText="1"/>
    </xf>
    <xf numFmtId="171" fontId="53" fillId="0" borderId="4" xfId="367" applyNumberFormat="1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3" fontId="79" fillId="0" borderId="4" xfId="0" applyNumberFormat="1" applyFont="1" applyFill="1" applyBorder="1" applyAlignment="1">
      <alignment horizontal="left" vertical="center"/>
    </xf>
    <xf numFmtId="1" fontId="78" fillId="0" borderId="4" xfId="0" applyNumberFormat="1" applyFont="1" applyFill="1" applyBorder="1" applyAlignment="1">
      <alignment horizontal="left" vertical="center" wrapText="1"/>
    </xf>
    <xf numFmtId="3" fontId="79" fillId="0" borderId="4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 wrapText="1"/>
    </xf>
    <xf numFmtId="0" fontId="44" fillId="0" borderId="0" xfId="0" applyFont="1" applyFill="1" applyAlignment="1">
      <alignment vertical="center" wrapText="1"/>
    </xf>
    <xf numFmtId="4" fontId="59" fillId="0" borderId="4" xfId="0" applyNumberFormat="1" applyFont="1" applyFill="1" applyBorder="1" applyAlignment="1">
      <alignment horizontal="center" vertical="center" wrapText="1"/>
    </xf>
    <xf numFmtId="43" fontId="53" fillId="0" borderId="4" xfId="367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63" fillId="0" borderId="4" xfId="314" quotePrefix="1" applyFont="1" applyFill="1" applyBorder="1" applyAlignment="1">
      <alignment vertical="center" wrapText="1"/>
    </xf>
    <xf numFmtId="3" fontId="0" fillId="0" borderId="4" xfId="0" applyNumberFormat="1" applyFont="1" applyFill="1" applyBorder="1" applyAlignment="1">
      <alignment horizontal="right" vertical="center"/>
    </xf>
    <xf numFmtId="3" fontId="0" fillId="0" borderId="4" xfId="0" applyNumberFormat="1" applyFont="1" applyFill="1" applyBorder="1" applyAlignment="1">
      <alignment horizontal="right" vertical="center" wrapText="1"/>
    </xf>
    <xf numFmtId="3" fontId="2" fillId="0" borderId="4" xfId="0" applyNumberFormat="1" applyFont="1" applyFill="1" applyBorder="1" applyAlignment="1">
      <alignment horizontal="right" vertical="center"/>
    </xf>
    <xf numFmtId="3" fontId="88" fillId="0" borderId="4" xfId="0" applyNumberFormat="1" applyFont="1" applyFill="1" applyBorder="1" applyAlignment="1">
      <alignment horizontal="right" vertical="center" wrapText="1"/>
    </xf>
    <xf numFmtId="0" fontId="8" fillId="0" borderId="4" xfId="0" applyFont="1" applyFill="1" applyBorder="1" applyAlignment="1">
      <alignment wrapText="1"/>
    </xf>
    <xf numFmtId="0" fontId="64" fillId="0" borderId="4" xfId="0" applyFont="1" applyFill="1" applyBorder="1" applyAlignment="1">
      <alignment vertical="center" wrapText="1"/>
    </xf>
    <xf numFmtId="0" fontId="77" fillId="0" borderId="4" xfId="0" applyFont="1" applyFill="1" applyBorder="1" applyAlignment="1">
      <alignment vertical="center" wrapText="1"/>
    </xf>
    <xf numFmtId="167" fontId="53" fillId="0" borderId="4" xfId="0" applyNumberFormat="1" applyFont="1" applyFill="1" applyBorder="1" applyAlignment="1">
      <alignment vertical="center" wrapText="1"/>
    </xf>
    <xf numFmtId="0" fontId="49" fillId="0" borderId="4" xfId="0" applyFont="1" applyFill="1" applyBorder="1" applyAlignment="1">
      <alignment horizontal="right" vertical="center"/>
    </xf>
    <xf numFmtId="0" fontId="49" fillId="0" borderId="4" xfId="0" applyFont="1" applyFill="1" applyBorder="1" applyAlignment="1">
      <alignment horizontal="right" vertical="center" wrapText="1"/>
    </xf>
    <xf numFmtId="3" fontId="49" fillId="0" borderId="4" xfId="0" applyNumberFormat="1" applyFont="1" applyFill="1" applyBorder="1" applyAlignment="1">
      <alignment horizontal="right" vertical="center"/>
    </xf>
    <xf numFmtId="4" fontId="96" fillId="0" borderId="4" xfId="0" applyNumberFormat="1" applyFont="1" applyFill="1" applyBorder="1" applyAlignment="1">
      <alignment vertical="center" wrapText="1"/>
    </xf>
    <xf numFmtId="0" fontId="43" fillId="0" borderId="0" xfId="0" applyFont="1" applyAlignment="1">
      <alignment horizontal="center"/>
    </xf>
    <xf numFmtId="0" fontId="4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7" fillId="0" borderId="17" xfId="0" applyFont="1" applyFill="1" applyBorder="1" applyAlignment="1">
      <alignment horizontal="center" vertical="center" wrapText="1"/>
    </xf>
    <xf numFmtId="0" fontId="43" fillId="0" borderId="0" xfId="0" applyFont="1" applyFill="1" applyAlignment="1">
      <alignment horizontal="center"/>
    </xf>
    <xf numFmtId="0" fontId="42" fillId="0" borderId="0" xfId="0" applyFont="1" applyFill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12" fillId="0" borderId="0" xfId="0" applyFont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0" fillId="0" borderId="0" xfId="0" applyFont="1" applyFill="1" applyAlignment="1">
      <alignment horizontal="center" wrapText="1"/>
    </xf>
    <xf numFmtId="0" fontId="2" fillId="0" borderId="4" xfId="0" applyFont="1" applyFill="1" applyBorder="1" applyAlignment="1">
      <alignment horizontal="center"/>
    </xf>
    <xf numFmtId="0" fontId="49" fillId="0" borderId="33" xfId="0" applyFont="1" applyFill="1" applyBorder="1" applyAlignment="1">
      <alignment horizontal="center" vertical="center" wrapText="1"/>
    </xf>
    <xf numFmtId="0" fontId="49" fillId="0" borderId="18" xfId="0" applyFont="1" applyFill="1" applyBorder="1" applyAlignment="1">
      <alignment horizontal="center" vertical="center" wrapText="1"/>
    </xf>
    <xf numFmtId="0" fontId="59" fillId="0" borderId="0" xfId="0" applyFont="1" applyFill="1" applyAlignment="1">
      <alignment horizontal="left" wrapText="1"/>
    </xf>
    <xf numFmtId="0" fontId="47" fillId="0" borderId="37" xfId="6" applyFont="1" applyFill="1" applyBorder="1" applyAlignment="1">
      <alignment horizontal="center"/>
    </xf>
    <xf numFmtId="0" fontId="90" fillId="0" borderId="3" xfId="0" applyFont="1" applyFill="1" applyBorder="1" applyAlignment="1">
      <alignment horizontal="center" vertical="center" wrapText="1"/>
    </xf>
    <xf numFmtId="0" fontId="90" fillId="0" borderId="23" xfId="0" applyFont="1" applyFill="1" applyBorder="1" applyAlignment="1">
      <alignment horizontal="center" vertical="center" wrapText="1"/>
    </xf>
    <xf numFmtId="0" fontId="90" fillId="0" borderId="2" xfId="0" applyFont="1" applyFill="1" applyBorder="1" applyAlignment="1">
      <alignment horizontal="center" vertical="center" wrapText="1"/>
    </xf>
    <xf numFmtId="0" fontId="47" fillId="0" borderId="24" xfId="6" applyFont="1" applyFill="1" applyBorder="1" applyAlignment="1">
      <alignment horizontal="center" vertical="center" wrapText="1"/>
    </xf>
    <xf numFmtId="0" fontId="47" fillId="0" borderId="29" xfId="6" applyFont="1" applyFill="1" applyBorder="1" applyAlignment="1">
      <alignment horizontal="center" vertical="center" wrapText="1"/>
    </xf>
    <xf numFmtId="0" fontId="47" fillId="0" borderId="26" xfId="6" applyFont="1" applyFill="1" applyBorder="1" applyAlignment="1">
      <alignment horizontal="center" vertical="center" wrapText="1"/>
    </xf>
    <xf numFmtId="0" fontId="47" fillId="0" borderId="31" xfId="6" applyFont="1" applyFill="1" applyBorder="1" applyAlignment="1">
      <alignment horizontal="center" vertical="center" wrapText="1"/>
    </xf>
    <xf numFmtId="0" fontId="90" fillId="0" borderId="20" xfId="0" applyFont="1" applyFill="1" applyBorder="1" applyAlignment="1">
      <alignment horizontal="center" vertical="center" wrapText="1"/>
    </xf>
    <xf numFmtId="0" fontId="90" fillId="0" borderId="21" xfId="0" applyFont="1" applyFill="1" applyBorder="1" applyAlignment="1">
      <alignment horizontal="center" vertical="center" wrapText="1"/>
    </xf>
    <xf numFmtId="0" fontId="48" fillId="0" borderId="0" xfId="0" applyFont="1" applyFill="1" applyAlignment="1">
      <alignment horizontal="center"/>
    </xf>
    <xf numFmtId="0" fontId="49" fillId="0" borderId="3" xfId="0" applyFont="1" applyFill="1" applyBorder="1" applyAlignment="1">
      <alignment horizontal="center"/>
    </xf>
    <xf numFmtId="0" fontId="49" fillId="0" borderId="40" xfId="0" applyFont="1" applyFill="1" applyBorder="1" applyAlignment="1">
      <alignment horizontal="center"/>
    </xf>
    <xf numFmtId="0" fontId="51" fillId="0" borderId="0" xfId="0" applyFont="1" applyFill="1" applyAlignment="1">
      <alignment horizontal="center" vertical="center"/>
    </xf>
    <xf numFmtId="0" fontId="78" fillId="0" borderId="4" xfId="0" applyFont="1" applyFill="1" applyBorder="1" applyAlignment="1">
      <alignment horizontal="center" vertical="center" wrapText="1"/>
    </xf>
    <xf numFmtId="3" fontId="74" fillId="0" borderId="17" xfId="0" applyNumberFormat="1" applyFont="1" applyFill="1" applyBorder="1" applyAlignment="1">
      <alignment horizontal="center" vertical="center"/>
    </xf>
    <xf numFmtId="0" fontId="60" fillId="0" borderId="0" xfId="0" applyFont="1" applyFill="1" applyAlignment="1">
      <alignment horizontal="center" vertical="center"/>
    </xf>
    <xf numFmtId="0" fontId="0" fillId="0" borderId="4" xfId="0" applyFill="1" applyBorder="1" applyAlignment="1">
      <alignment horizontal="center" vertical="center" wrapText="1"/>
    </xf>
  </cellXfs>
  <cellStyles count="369">
    <cellStyle name=" 1" xfId="53"/>
    <cellStyle name="20% - Accent1" xfId="54"/>
    <cellStyle name="20% - Accent2" xfId="55"/>
    <cellStyle name="20% - Accent3" xfId="56"/>
    <cellStyle name="20% - Accent4" xfId="57"/>
    <cellStyle name="20% - Accent5" xfId="58"/>
    <cellStyle name="20% - Accent6" xfId="59"/>
    <cellStyle name="20% - Акцент1 10" xfId="60"/>
    <cellStyle name="20% - Акцент1 11" xfId="61"/>
    <cellStyle name="20% - Акцент1 12" xfId="62"/>
    <cellStyle name="20% - Акцент1 13" xfId="63"/>
    <cellStyle name="20% - Акцент1 14" xfId="64"/>
    <cellStyle name="20% - Акцент1 15" xfId="65"/>
    <cellStyle name="20% - Акцент1 16" xfId="66"/>
    <cellStyle name="20% - Акцент1 17" xfId="67"/>
    <cellStyle name="20% - Акцент1 18" xfId="68"/>
    <cellStyle name="20% - Акцент1 19" xfId="69"/>
    <cellStyle name="20% - Акцент1 2" xfId="8"/>
    <cellStyle name="20% - Акцент1 3" xfId="9"/>
    <cellStyle name="20% - Акцент1 4" xfId="10"/>
    <cellStyle name="20% - Акцент1 5" xfId="70"/>
    <cellStyle name="20% - Акцент1 6" xfId="71"/>
    <cellStyle name="20% - Акцент1 7" xfId="72"/>
    <cellStyle name="20% - Акцент1 8" xfId="73"/>
    <cellStyle name="20% - Акцент1 9" xfId="74"/>
    <cellStyle name="20% - Акцент2 10" xfId="75"/>
    <cellStyle name="20% - Акцент2 11" xfId="76"/>
    <cellStyle name="20% - Акцент2 12" xfId="77"/>
    <cellStyle name="20% - Акцент2 13" xfId="78"/>
    <cellStyle name="20% - Акцент2 14" xfId="79"/>
    <cellStyle name="20% - Акцент2 15" xfId="80"/>
    <cellStyle name="20% - Акцент2 16" xfId="81"/>
    <cellStyle name="20% - Акцент2 17" xfId="82"/>
    <cellStyle name="20% - Акцент2 18" xfId="83"/>
    <cellStyle name="20% - Акцент2 19" xfId="84"/>
    <cellStyle name="20% - Акцент2 2" xfId="11"/>
    <cellStyle name="20% - Акцент2 3" xfId="12"/>
    <cellStyle name="20% - Акцент2 4" xfId="13"/>
    <cellStyle name="20% - Акцент2 5" xfId="85"/>
    <cellStyle name="20% - Акцент2 6" xfId="86"/>
    <cellStyle name="20% - Акцент2 7" xfId="87"/>
    <cellStyle name="20% - Акцент2 8" xfId="88"/>
    <cellStyle name="20% - Акцент2 9" xfId="89"/>
    <cellStyle name="20% - Акцент3 10" xfId="90"/>
    <cellStyle name="20% - Акцент3 11" xfId="91"/>
    <cellStyle name="20% - Акцент3 12" xfId="92"/>
    <cellStyle name="20% - Акцент3 13" xfId="93"/>
    <cellStyle name="20% - Акцент3 14" xfId="94"/>
    <cellStyle name="20% - Акцент3 15" xfId="95"/>
    <cellStyle name="20% - Акцент3 16" xfId="96"/>
    <cellStyle name="20% - Акцент3 17" xfId="97"/>
    <cellStyle name="20% - Акцент3 18" xfId="98"/>
    <cellStyle name="20% - Акцент3 19" xfId="99"/>
    <cellStyle name="20% - Акцент3 2" xfId="14"/>
    <cellStyle name="20% - Акцент3 3" xfId="15"/>
    <cellStyle name="20% - Акцент3 4" xfId="16"/>
    <cellStyle name="20% - Акцент3 5" xfId="100"/>
    <cellStyle name="20% - Акцент3 6" xfId="101"/>
    <cellStyle name="20% - Акцент3 7" xfId="102"/>
    <cellStyle name="20% - Акцент3 8" xfId="103"/>
    <cellStyle name="20% - Акцент3 9" xfId="104"/>
    <cellStyle name="20% - Акцент4 10" xfId="105"/>
    <cellStyle name="20% - Акцент4 11" xfId="106"/>
    <cellStyle name="20% - Акцент4 12" xfId="107"/>
    <cellStyle name="20% - Акцент4 13" xfId="108"/>
    <cellStyle name="20% - Акцент4 14" xfId="109"/>
    <cellStyle name="20% - Акцент4 15" xfId="110"/>
    <cellStyle name="20% - Акцент4 16" xfId="111"/>
    <cellStyle name="20% - Акцент4 17" xfId="112"/>
    <cellStyle name="20% - Акцент4 18" xfId="113"/>
    <cellStyle name="20% - Акцент4 19" xfId="114"/>
    <cellStyle name="20% - Акцент4 2" xfId="17"/>
    <cellStyle name="20% - Акцент4 3" xfId="18"/>
    <cellStyle name="20% - Акцент4 4" xfId="19"/>
    <cellStyle name="20% - Акцент4 5" xfId="115"/>
    <cellStyle name="20% - Акцент4 6" xfId="116"/>
    <cellStyle name="20% - Акцент4 7" xfId="117"/>
    <cellStyle name="20% - Акцент4 8" xfId="118"/>
    <cellStyle name="20% - Акцент4 9" xfId="119"/>
    <cellStyle name="20% - Акцент5 2" xfId="20"/>
    <cellStyle name="20% - Акцент5 2 2" xfId="121"/>
    <cellStyle name="20% - Акцент5 3" xfId="21"/>
    <cellStyle name="20% - Акцент5 3 2" xfId="122"/>
    <cellStyle name="20% - Акцент5 4" xfId="22"/>
    <cellStyle name="20% - Акцент5 4 2" xfId="120"/>
    <cellStyle name="20% - Акцент6 2" xfId="23"/>
    <cellStyle name="20% - Акцент6 2 2" xfId="124"/>
    <cellStyle name="20% - Акцент6 3" xfId="24"/>
    <cellStyle name="20% - Акцент6 3 2" xfId="125"/>
    <cellStyle name="20% - Акцент6 4" xfId="25"/>
    <cellStyle name="20% - Акцент6 4 2" xfId="123"/>
    <cellStyle name="40% - Accent1" xfId="126"/>
    <cellStyle name="40% - Accent2" xfId="127"/>
    <cellStyle name="40% - Accent3" xfId="128"/>
    <cellStyle name="40% - Accent4" xfId="129"/>
    <cellStyle name="40% - Accent5" xfId="130"/>
    <cellStyle name="40% - Accent6" xfId="131"/>
    <cellStyle name="40% - Акцент1 2" xfId="26"/>
    <cellStyle name="40% - Акцент1 2 2" xfId="133"/>
    <cellStyle name="40% - Акцент1 3" xfId="27"/>
    <cellStyle name="40% - Акцент1 3 2" xfId="134"/>
    <cellStyle name="40% - Акцент1 4" xfId="28"/>
    <cellStyle name="40% - Акцент1 4 2" xfId="132"/>
    <cellStyle name="40% - Акцент2 2" xfId="29"/>
    <cellStyle name="40% - Акцент2 2 2" xfId="136"/>
    <cellStyle name="40% - Акцент2 3" xfId="30"/>
    <cellStyle name="40% - Акцент2 3 2" xfId="137"/>
    <cellStyle name="40% - Акцент2 4" xfId="31"/>
    <cellStyle name="40% - Акцент2 4 2" xfId="135"/>
    <cellStyle name="40% - Акцент3 10" xfId="138"/>
    <cellStyle name="40% - Акцент3 11" xfId="139"/>
    <cellStyle name="40% - Акцент3 12" xfId="140"/>
    <cellStyle name="40% - Акцент3 13" xfId="141"/>
    <cellStyle name="40% - Акцент3 14" xfId="142"/>
    <cellStyle name="40% - Акцент3 15" xfId="143"/>
    <cellStyle name="40% - Акцент3 16" xfId="144"/>
    <cellStyle name="40% - Акцент3 17" xfId="145"/>
    <cellStyle name="40% - Акцент3 18" xfId="146"/>
    <cellStyle name="40% - Акцент3 19" xfId="147"/>
    <cellStyle name="40% - Акцент3 2" xfId="32"/>
    <cellStyle name="40% - Акцент3 3" xfId="33"/>
    <cellStyle name="40% - Акцент3 4" xfId="34"/>
    <cellStyle name="40% - Акцент3 5" xfId="148"/>
    <cellStyle name="40% - Акцент3 6" xfId="149"/>
    <cellStyle name="40% - Акцент3 7" xfId="150"/>
    <cellStyle name="40% - Акцент3 8" xfId="151"/>
    <cellStyle name="40% - Акцент3 9" xfId="152"/>
    <cellStyle name="40% - Акцент4 2" xfId="35"/>
    <cellStyle name="40% - Акцент4 2 2" xfId="154"/>
    <cellStyle name="40% - Акцент4 3" xfId="36"/>
    <cellStyle name="40% - Акцент4 3 2" xfId="155"/>
    <cellStyle name="40% - Акцент4 4" xfId="37"/>
    <cellStyle name="40% - Акцент4 4 2" xfId="153"/>
    <cellStyle name="40% - Акцент5 2" xfId="38"/>
    <cellStyle name="40% - Акцент5 2 2" xfId="157"/>
    <cellStyle name="40% - Акцент5 3" xfId="39"/>
    <cellStyle name="40% - Акцент5 3 2" xfId="158"/>
    <cellStyle name="40% - Акцент5 4" xfId="40"/>
    <cellStyle name="40% - Акцент5 4 2" xfId="156"/>
    <cellStyle name="40% - Акцент6 2" xfId="41"/>
    <cellStyle name="40% - Акцент6 2 2" xfId="160"/>
    <cellStyle name="40% - Акцент6 3" xfId="42"/>
    <cellStyle name="40% - Акцент6 3 2" xfId="161"/>
    <cellStyle name="40% - Акцент6 4" xfId="43"/>
    <cellStyle name="40% - Акцент6 4 2" xfId="159"/>
    <cellStyle name="60% - Accent1" xfId="162"/>
    <cellStyle name="60% - Accent2" xfId="163"/>
    <cellStyle name="60% - Accent3" xfId="164"/>
    <cellStyle name="60% - Accent4" xfId="165"/>
    <cellStyle name="60% - Accent5" xfId="166"/>
    <cellStyle name="60% - Accent6" xfId="167"/>
    <cellStyle name="60% - Акцент1 2" xfId="169"/>
    <cellStyle name="60% - Акцент1 3" xfId="170"/>
    <cellStyle name="60% - Акцент1 4" xfId="168"/>
    <cellStyle name="60% - Акцент2 2" xfId="172"/>
    <cellStyle name="60% - Акцент2 3" xfId="173"/>
    <cellStyle name="60% - Акцент2 4" xfId="171"/>
    <cellStyle name="60% - Акцент3 10" xfId="174"/>
    <cellStyle name="60% - Акцент3 11" xfId="175"/>
    <cellStyle name="60% - Акцент3 12" xfId="176"/>
    <cellStyle name="60% - Акцент3 13" xfId="177"/>
    <cellStyle name="60% - Акцент3 14" xfId="178"/>
    <cellStyle name="60% - Акцент3 15" xfId="179"/>
    <cellStyle name="60% - Акцент3 16" xfId="180"/>
    <cellStyle name="60% - Акцент3 17" xfId="181"/>
    <cellStyle name="60% - Акцент3 18" xfId="182"/>
    <cellStyle name="60% - Акцент3 19" xfId="183"/>
    <cellStyle name="60% - Акцент3 2" xfId="184"/>
    <cellStyle name="60% - Акцент3 3" xfId="185"/>
    <cellStyle name="60% - Акцент3 4" xfId="186"/>
    <cellStyle name="60% - Акцент3 5" xfId="187"/>
    <cellStyle name="60% - Акцент3 6" xfId="188"/>
    <cellStyle name="60% - Акцент3 7" xfId="189"/>
    <cellStyle name="60% - Акцент3 8" xfId="190"/>
    <cellStyle name="60% - Акцент3 9" xfId="191"/>
    <cellStyle name="60% - Акцент4 10" xfId="192"/>
    <cellStyle name="60% - Акцент4 11" xfId="193"/>
    <cellStyle name="60% - Акцент4 12" xfId="194"/>
    <cellStyle name="60% - Акцент4 13" xfId="195"/>
    <cellStyle name="60% - Акцент4 14" xfId="196"/>
    <cellStyle name="60% - Акцент4 15" xfId="197"/>
    <cellStyle name="60% - Акцент4 16" xfId="198"/>
    <cellStyle name="60% - Акцент4 17" xfId="199"/>
    <cellStyle name="60% - Акцент4 18" xfId="200"/>
    <cellStyle name="60% - Акцент4 19" xfId="201"/>
    <cellStyle name="60% - Акцент4 2" xfId="202"/>
    <cellStyle name="60% - Акцент4 3" xfId="203"/>
    <cellStyle name="60% - Акцент4 4" xfId="204"/>
    <cellStyle name="60% - Акцент4 5" xfId="205"/>
    <cellStyle name="60% - Акцент4 6" xfId="206"/>
    <cellStyle name="60% - Акцент4 7" xfId="207"/>
    <cellStyle name="60% - Акцент4 8" xfId="208"/>
    <cellStyle name="60% - Акцент4 9" xfId="209"/>
    <cellStyle name="60% - Акцент5 2" xfId="211"/>
    <cellStyle name="60% - Акцент5 3" xfId="212"/>
    <cellStyle name="60% - Акцент5 4" xfId="210"/>
    <cellStyle name="60% - Акцент6 10" xfId="213"/>
    <cellStyle name="60% - Акцент6 11" xfId="214"/>
    <cellStyle name="60% - Акцент6 12" xfId="215"/>
    <cellStyle name="60% - Акцент6 13" xfId="216"/>
    <cellStyle name="60% - Акцент6 14" xfId="217"/>
    <cellStyle name="60% - Акцент6 15" xfId="218"/>
    <cellStyle name="60% - Акцент6 16" xfId="219"/>
    <cellStyle name="60% - Акцент6 17" xfId="220"/>
    <cellStyle name="60% - Акцент6 18" xfId="221"/>
    <cellStyle name="60% - Акцент6 19" xfId="222"/>
    <cellStyle name="60% - Акцент6 2" xfId="223"/>
    <cellStyle name="60% - Акцент6 3" xfId="224"/>
    <cellStyle name="60% - Акцент6 4" xfId="225"/>
    <cellStyle name="60% - Акцент6 5" xfId="226"/>
    <cellStyle name="60% - Акцент6 6" xfId="227"/>
    <cellStyle name="60% - Акцент6 7" xfId="228"/>
    <cellStyle name="60% - Акцент6 8" xfId="229"/>
    <cellStyle name="60% - Акцент6 9" xfId="230"/>
    <cellStyle name="Accent1" xfId="231"/>
    <cellStyle name="Accent2" xfId="232"/>
    <cellStyle name="Accent3" xfId="233"/>
    <cellStyle name="Accent4" xfId="234"/>
    <cellStyle name="Accent5" xfId="235"/>
    <cellStyle name="Accent6" xfId="236"/>
    <cellStyle name="Bad" xfId="237"/>
    <cellStyle name="Calculation" xfId="238"/>
    <cellStyle name="Check Cell" xfId="239"/>
    <cellStyle name="Currency [0]" xfId="240"/>
    <cellStyle name="Currency2" xfId="241"/>
    <cellStyle name="Explanatory Text" xfId="242"/>
    <cellStyle name="Followed Hyperlink" xfId="243"/>
    <cellStyle name="Good" xfId="244"/>
    <cellStyle name="Heading 1" xfId="245"/>
    <cellStyle name="Heading 2" xfId="246"/>
    <cellStyle name="Heading 3" xfId="247"/>
    <cellStyle name="Heading 4" xfId="248"/>
    <cellStyle name="Hyperlink" xfId="249"/>
    <cellStyle name="Input" xfId="250"/>
    <cellStyle name="Linked Cell" xfId="251"/>
    <cellStyle name="Neutral" xfId="252"/>
    <cellStyle name="normal" xfId="253"/>
    <cellStyle name="Normal1" xfId="254"/>
    <cellStyle name="Normal2" xfId="255"/>
    <cellStyle name="Note" xfId="256"/>
    <cellStyle name="Output" xfId="257"/>
    <cellStyle name="Percent1" xfId="258"/>
    <cellStyle name="Title" xfId="259"/>
    <cellStyle name="Total" xfId="260"/>
    <cellStyle name="Warning Text" xfId="261"/>
    <cellStyle name="Акцент1 2" xfId="263"/>
    <cellStyle name="Акцент1 3" xfId="264"/>
    <cellStyle name="Акцент1 4" xfId="262"/>
    <cellStyle name="Акцент2 2" xfId="266"/>
    <cellStyle name="Акцент2 3" xfId="267"/>
    <cellStyle name="Акцент2 4" xfId="265"/>
    <cellStyle name="Акцент3 2" xfId="269"/>
    <cellStyle name="Акцент3 3" xfId="270"/>
    <cellStyle name="Акцент3 4" xfId="268"/>
    <cellStyle name="Акцент4 2" xfId="272"/>
    <cellStyle name="Акцент4 3" xfId="273"/>
    <cellStyle name="Акцент4 4" xfId="271"/>
    <cellStyle name="Акцент5 2" xfId="275"/>
    <cellStyle name="Акцент5 3" xfId="276"/>
    <cellStyle name="Акцент5 4" xfId="274"/>
    <cellStyle name="Акцент6 2" xfId="278"/>
    <cellStyle name="Акцент6 3" xfId="279"/>
    <cellStyle name="Акцент6 4" xfId="277"/>
    <cellStyle name="Ввод  2" xfId="280"/>
    <cellStyle name="Вывод 2" xfId="282"/>
    <cellStyle name="Вывод 3" xfId="283"/>
    <cellStyle name="Вывод 4" xfId="281"/>
    <cellStyle name="Вычисление 2" xfId="285"/>
    <cellStyle name="Вычисление 3" xfId="286"/>
    <cellStyle name="Вычисление 4" xfId="284"/>
    <cellStyle name="Денежный 2" xfId="2"/>
    <cellStyle name="Заголовок 1 2" xfId="288"/>
    <cellStyle name="Заголовок 1 3" xfId="289"/>
    <cellStyle name="Заголовок 1 4" xfId="287"/>
    <cellStyle name="Заголовок 2 2" xfId="291"/>
    <cellStyle name="Заголовок 2 3" xfId="292"/>
    <cellStyle name="Заголовок 2 4" xfId="290"/>
    <cellStyle name="Заголовок 3 2" xfId="294"/>
    <cellStyle name="Заголовок 3 3" xfId="295"/>
    <cellStyle name="Заголовок 3 4" xfId="293"/>
    <cellStyle name="Заголовок 4 2" xfId="297"/>
    <cellStyle name="Заголовок 4 3" xfId="298"/>
    <cellStyle name="Заголовок 4 4" xfId="296"/>
    <cellStyle name="Значение" xfId="299"/>
    <cellStyle name="Итог 2" xfId="301"/>
    <cellStyle name="Итог 3" xfId="302"/>
    <cellStyle name="Итог 4" xfId="300"/>
    <cellStyle name="Контрольная ячейка 2" xfId="304"/>
    <cellStyle name="Контрольная ячейка 3" xfId="305"/>
    <cellStyle name="Контрольная ячейка 4" xfId="303"/>
    <cellStyle name="Название 2" xfId="307"/>
    <cellStyle name="Название 3" xfId="308"/>
    <cellStyle name="Название 4" xfId="306"/>
    <cellStyle name="Нейтральный 2" xfId="310"/>
    <cellStyle name="Нейтральный 3" xfId="311"/>
    <cellStyle name="Нейтральный 4" xfId="309"/>
    <cellStyle name="Обычный" xfId="0" builtinId="0"/>
    <cellStyle name="Обычный 10" xfId="312"/>
    <cellStyle name="Обычный 11" xfId="313"/>
    <cellStyle name="Обычный 12" xfId="314"/>
    <cellStyle name="Обычный 13" xfId="315"/>
    <cellStyle name="Обычный 2" xfId="1"/>
    <cellStyle name="Обычный 2 2" xfId="7"/>
    <cellStyle name="Обычный 2 2 2" xfId="316"/>
    <cellStyle name="Обычный 2 3" xfId="317"/>
    <cellStyle name="Обычный 2 4" xfId="318"/>
    <cellStyle name="Обычный 2 5" xfId="368"/>
    <cellStyle name="Обычный 2_ИП Суслонов В А  - расчетные таблицы к тарифу на 2012 год" xfId="319"/>
    <cellStyle name="Обычный 3" xfId="6"/>
    <cellStyle name="Обычный 3 2" xfId="320"/>
    <cellStyle name="Обычный 4" xfId="44"/>
    <cellStyle name="Обычный 4 2" xfId="322"/>
    <cellStyle name="Обычный 4 3" xfId="321"/>
    <cellStyle name="Обычный 4_расчет стоки Звездочка 2015 12.12.14" xfId="323"/>
    <cellStyle name="Обычный 5" xfId="45"/>
    <cellStyle name="Обычный 5 2" xfId="325"/>
    <cellStyle name="Обычный 5 3" xfId="324"/>
    <cellStyle name="Обычный 6" xfId="46"/>
    <cellStyle name="Обычный 7" xfId="326"/>
    <cellStyle name="Обычный 7 2" xfId="327"/>
    <cellStyle name="Обычный 7_расчет стоки Звездочка 2015 12.12.14" xfId="328"/>
    <cellStyle name="Обычный 8" xfId="329"/>
    <cellStyle name="Обычный 9" xfId="330"/>
    <cellStyle name="Плохой 2" xfId="332"/>
    <cellStyle name="Плохой 3" xfId="333"/>
    <cellStyle name="Плохой 4" xfId="331"/>
    <cellStyle name="Пояснение 2" xfId="335"/>
    <cellStyle name="Пояснение 3" xfId="336"/>
    <cellStyle name="Пояснение 4" xfId="334"/>
    <cellStyle name="Примечание 2" xfId="47"/>
    <cellStyle name="Примечание 2 2" xfId="337"/>
    <cellStyle name="Примечание 3" xfId="48"/>
    <cellStyle name="Примечание 4" xfId="49"/>
    <cellStyle name="Примечание 5" xfId="50"/>
    <cellStyle name="Процентный 2" xfId="3"/>
    <cellStyle name="Процентный 2 2" xfId="51"/>
    <cellStyle name="Процентный 2 3" xfId="339"/>
    <cellStyle name="Процентный 2_расчет вода Звездочка нов" xfId="340"/>
    <cellStyle name="Процентный 3" xfId="341"/>
    <cellStyle name="Процентный 4" xfId="342"/>
    <cellStyle name="Процентный 5" xfId="343"/>
    <cellStyle name="Процентный 6" xfId="344"/>
    <cellStyle name="Процентный 7" xfId="345"/>
    <cellStyle name="Процентный 8" xfId="346"/>
    <cellStyle name="Процентный 9" xfId="338"/>
    <cellStyle name="Связанная ячейка 2" xfId="348"/>
    <cellStyle name="Связанная ячейка 3" xfId="349"/>
    <cellStyle name="Связанная ячейка 4" xfId="347"/>
    <cellStyle name="Текст предупреждения 2" xfId="351"/>
    <cellStyle name="Текст предупреждения 3" xfId="352"/>
    <cellStyle name="Текст предупреждения 4" xfId="350"/>
    <cellStyle name="Финансовый" xfId="367" builtinId="3"/>
    <cellStyle name="Финансовый 2" xfId="4"/>
    <cellStyle name="Финансовый 2 2" xfId="355"/>
    <cellStyle name="Финансовый 2 2 2" xfId="5"/>
    <cellStyle name="Финансовый 2 3" xfId="354"/>
    <cellStyle name="Финансовый 2_расчет вода Звездочка нов" xfId="356"/>
    <cellStyle name="Финансовый 3" xfId="52"/>
    <cellStyle name="Финансовый 4" xfId="357"/>
    <cellStyle name="Финансовый 4 2" xfId="358"/>
    <cellStyle name="Финансовый 5" xfId="359"/>
    <cellStyle name="Финансовый 6" xfId="360"/>
    <cellStyle name="Финансовый 7" xfId="361"/>
    <cellStyle name="Финансовый 8" xfId="353"/>
    <cellStyle name="Финансовый 9" xfId="366"/>
    <cellStyle name="Формула" xfId="362"/>
    <cellStyle name="Хороший 2" xfId="364"/>
    <cellStyle name="Хороший 3" xfId="365"/>
    <cellStyle name="Хороший 4" xfId="36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J60"/>
  <sheetViews>
    <sheetView tabSelected="1" view="pageBreakPreview" topLeftCell="A25" zoomScaleNormal="130" zoomScaleSheetLayoutView="100" workbookViewId="0">
      <selection activeCell="C31" sqref="C31"/>
    </sheetView>
  </sheetViews>
  <sheetFormatPr defaultRowHeight="15" x14ac:dyDescent="0.25"/>
  <cols>
    <col min="1" max="1" width="11.42578125" style="10" customWidth="1"/>
    <col min="2" max="2" width="59" customWidth="1"/>
    <col min="3" max="3" width="8" customWidth="1"/>
    <col min="4" max="4" width="14.5703125" customWidth="1"/>
    <col min="5" max="5" width="22" customWidth="1"/>
    <col min="6" max="6" width="26" customWidth="1"/>
    <col min="7" max="7" width="20.28515625" customWidth="1"/>
    <col min="9" max="9" width="14" customWidth="1"/>
    <col min="10" max="10" width="21.140625" customWidth="1"/>
  </cols>
  <sheetData>
    <row r="1" spans="1:7" s="13" customFormat="1" x14ac:dyDescent="0.25">
      <c r="A1" s="14"/>
      <c r="E1" s="2"/>
      <c r="F1" s="2" t="s">
        <v>316</v>
      </c>
    </row>
    <row r="2" spans="1:7" s="13" customFormat="1" x14ac:dyDescent="0.25">
      <c r="A2" s="14"/>
      <c r="E2" s="2"/>
    </row>
    <row r="3" spans="1:7" x14ac:dyDescent="0.25">
      <c r="A3" s="307" t="s">
        <v>179</v>
      </c>
      <c r="B3" s="307"/>
      <c r="C3" s="307"/>
      <c r="D3" s="307"/>
      <c r="E3" s="307"/>
      <c r="F3" s="75"/>
      <c r="G3" s="75"/>
    </row>
    <row r="4" spans="1:7" s="13" customFormat="1" x14ac:dyDescent="0.25">
      <c r="A4" s="10"/>
      <c r="B4" s="10"/>
      <c r="C4" s="10"/>
      <c r="D4" s="10"/>
      <c r="F4" s="25"/>
    </row>
    <row r="5" spans="1:7" x14ac:dyDescent="0.25">
      <c r="A5" s="1"/>
      <c r="E5" s="11"/>
      <c r="F5" s="11" t="s">
        <v>126</v>
      </c>
    </row>
    <row r="6" spans="1:7" ht="42.75" customHeight="1" x14ac:dyDescent="0.25">
      <c r="A6" s="3" t="s">
        <v>77</v>
      </c>
      <c r="B6" s="3" t="s">
        <v>78</v>
      </c>
      <c r="C6" s="3" t="s">
        <v>79</v>
      </c>
      <c r="D6" s="151" t="s">
        <v>318</v>
      </c>
      <c r="E6" s="151" t="s">
        <v>446</v>
      </c>
      <c r="F6" s="151" t="s">
        <v>319</v>
      </c>
    </row>
    <row r="7" spans="1:7" x14ac:dyDescent="0.25">
      <c r="A7" s="3">
        <v>1</v>
      </c>
      <c r="B7" s="3">
        <v>2</v>
      </c>
      <c r="C7" s="3">
        <v>3</v>
      </c>
      <c r="D7" s="151">
        <v>4</v>
      </c>
      <c r="E7" s="151">
        <v>5</v>
      </c>
      <c r="F7" s="151">
        <v>6</v>
      </c>
    </row>
    <row r="8" spans="1:7" x14ac:dyDescent="0.25">
      <c r="A8" s="3">
        <v>1</v>
      </c>
      <c r="B8" s="4" t="s">
        <v>80</v>
      </c>
      <c r="C8" s="4"/>
      <c r="D8" s="152"/>
      <c r="E8" s="152"/>
      <c r="F8" s="27"/>
    </row>
    <row r="9" spans="1:7" x14ac:dyDescent="0.25">
      <c r="A9" s="3"/>
      <c r="B9" s="4" t="s">
        <v>81</v>
      </c>
      <c r="C9" s="4" t="s">
        <v>82</v>
      </c>
      <c r="D9" s="92">
        <v>17.728639079239784</v>
      </c>
      <c r="E9" s="92">
        <f>F9</f>
        <v>10.51000724053921</v>
      </c>
      <c r="F9" s="92">
        <f>D9*F41/100</f>
        <v>10.51000724053921</v>
      </c>
    </row>
    <row r="10" spans="1:7" x14ac:dyDescent="0.25">
      <c r="A10" s="3">
        <v>2</v>
      </c>
      <c r="B10" s="4" t="s">
        <v>83</v>
      </c>
      <c r="C10" s="4"/>
      <c r="D10" s="152"/>
      <c r="E10" s="152"/>
      <c r="F10" s="27"/>
    </row>
    <row r="11" spans="1:7" x14ac:dyDescent="0.25">
      <c r="A11" s="3" t="s">
        <v>84</v>
      </c>
      <c r="B11" s="4" t="s">
        <v>85</v>
      </c>
      <c r="C11" s="4" t="s">
        <v>86</v>
      </c>
      <c r="D11" s="92">
        <v>5616.8975454744686</v>
      </c>
      <c r="E11" s="92">
        <v>5899.2311143984234</v>
      </c>
      <c r="F11" s="92">
        <v>6176.8901405818533</v>
      </c>
    </row>
    <row r="12" spans="1:7" x14ac:dyDescent="0.25">
      <c r="A12" s="3" t="s">
        <v>87</v>
      </c>
      <c r="B12" s="4" t="s">
        <v>88</v>
      </c>
      <c r="C12" s="4"/>
      <c r="D12" s="152">
        <v>105.5</v>
      </c>
      <c r="E12" s="152">
        <f>D12</f>
        <v>105.5</v>
      </c>
      <c r="F12" s="152">
        <v>105.5</v>
      </c>
    </row>
    <row r="13" spans="1:7" x14ac:dyDescent="0.25">
      <c r="A13" s="3" t="s">
        <v>89</v>
      </c>
      <c r="B13" s="4" t="s">
        <v>127</v>
      </c>
      <c r="C13" s="4" t="s">
        <v>86</v>
      </c>
      <c r="D13" s="92">
        <f>D11*D12/100</f>
        <v>5925.8269104755645</v>
      </c>
      <c r="E13" s="92">
        <f>E11*E12/100</f>
        <v>6223.6888256903367</v>
      </c>
      <c r="F13" s="92">
        <f t="shared" ref="F13" si="0">F11*F12/100</f>
        <v>6516.6190983138549</v>
      </c>
    </row>
    <row r="14" spans="1:7" x14ac:dyDescent="0.25">
      <c r="A14" s="3" t="s">
        <v>90</v>
      </c>
      <c r="B14" s="4" t="s">
        <v>91</v>
      </c>
      <c r="C14" s="4"/>
      <c r="D14" s="157">
        <v>1.4584615384615385</v>
      </c>
      <c r="E14" s="157">
        <f>D14</f>
        <v>1.4584615384615385</v>
      </c>
      <c r="F14" s="157">
        <v>1.4584615384615385</v>
      </c>
    </row>
    <row r="15" spans="1:7" ht="25.5" x14ac:dyDescent="0.25">
      <c r="A15" s="3" t="s">
        <v>92</v>
      </c>
      <c r="B15" s="4" t="s">
        <v>124</v>
      </c>
      <c r="C15" s="4"/>
      <c r="D15" s="158">
        <v>4.9881656804733732</v>
      </c>
      <c r="E15" s="158">
        <f>D15</f>
        <v>4.9881656804733732</v>
      </c>
      <c r="F15" s="158">
        <v>4.9881656804733732</v>
      </c>
    </row>
    <row r="16" spans="1:7" x14ac:dyDescent="0.25">
      <c r="A16" s="3" t="s">
        <v>93</v>
      </c>
      <c r="B16" s="4" t="s">
        <v>94</v>
      </c>
      <c r="C16" s="16" t="s">
        <v>86</v>
      </c>
      <c r="D16" s="92">
        <f>D13*D14</f>
        <v>8642.5906325089782</v>
      </c>
      <c r="E16" s="92">
        <f>E13*E14</f>
        <v>9077.0107796222146</v>
      </c>
      <c r="F16" s="92">
        <f t="shared" ref="F16" si="1">F13*F14</f>
        <v>9504.2383156946689</v>
      </c>
    </row>
    <row r="17" spans="1:6" ht="25.5" x14ac:dyDescent="0.25">
      <c r="A17" s="3" t="s">
        <v>96</v>
      </c>
      <c r="B17" s="4" t="s">
        <v>125</v>
      </c>
      <c r="C17" s="4"/>
      <c r="D17" s="152">
        <v>31</v>
      </c>
      <c r="E17" s="152">
        <f>D17</f>
        <v>31</v>
      </c>
      <c r="F17" s="152">
        <f>D17</f>
        <v>31</v>
      </c>
    </row>
    <row r="18" spans="1:6" x14ac:dyDescent="0.25">
      <c r="A18" s="3" t="s">
        <v>97</v>
      </c>
      <c r="B18" s="4" t="s">
        <v>98</v>
      </c>
      <c r="C18" s="4" t="s">
        <v>99</v>
      </c>
      <c r="D18" s="92">
        <f>D16*D17/100</f>
        <v>2679.2030960777834</v>
      </c>
      <c r="E18" s="92">
        <f>E16*E17/100</f>
        <v>2813.8733416828863</v>
      </c>
      <c r="F18" s="92">
        <f t="shared" ref="F18" si="2">F16*F17/100</f>
        <v>2946.3138778653474</v>
      </c>
    </row>
    <row r="19" spans="1:6" x14ac:dyDescent="0.25">
      <c r="A19" s="3" t="s">
        <v>100</v>
      </c>
      <c r="B19" s="4" t="s">
        <v>101</v>
      </c>
      <c r="C19" s="4" t="s">
        <v>86</v>
      </c>
      <c r="D19" s="152"/>
      <c r="E19" s="152"/>
      <c r="F19" s="27"/>
    </row>
    <row r="20" spans="1:6" x14ac:dyDescent="0.25">
      <c r="A20" s="3" t="s">
        <v>102</v>
      </c>
      <c r="B20" s="4" t="s">
        <v>103</v>
      </c>
      <c r="C20" s="4"/>
      <c r="D20" s="152"/>
      <c r="E20" s="152"/>
      <c r="F20" s="27"/>
    </row>
    <row r="21" spans="1:6" x14ac:dyDescent="0.25">
      <c r="A21" s="3" t="s">
        <v>104</v>
      </c>
      <c r="B21" s="4" t="s">
        <v>98</v>
      </c>
      <c r="C21" s="4" t="s">
        <v>99</v>
      </c>
      <c r="D21" s="152">
        <v>78</v>
      </c>
      <c r="E21" s="152">
        <f>D21</f>
        <v>78</v>
      </c>
      <c r="F21" s="152">
        <f>D21</f>
        <v>78</v>
      </c>
    </row>
    <row r="22" spans="1:6" x14ac:dyDescent="0.25">
      <c r="A22" s="3" t="s">
        <v>105</v>
      </c>
      <c r="B22" s="4" t="s">
        <v>101</v>
      </c>
      <c r="C22" s="4" t="s">
        <v>86</v>
      </c>
      <c r="D22" s="92">
        <f>(D16)*D21/100</f>
        <v>6741.2206933570023</v>
      </c>
      <c r="E22" s="92">
        <f>(E16)*E21/100</f>
        <v>7080.0684081053269</v>
      </c>
      <c r="F22" s="92">
        <f t="shared" ref="F22" si="3">(F16)*F21/100</f>
        <v>7413.3058862418411</v>
      </c>
    </row>
    <row r="23" spans="1:6" x14ac:dyDescent="0.25">
      <c r="A23" s="3" t="s">
        <v>106</v>
      </c>
      <c r="B23" s="4" t="s">
        <v>107</v>
      </c>
      <c r="C23" s="4"/>
      <c r="D23" s="152"/>
      <c r="E23" s="152"/>
      <c r="F23" s="27"/>
    </row>
    <row r="24" spans="1:6" x14ac:dyDescent="0.25">
      <c r="A24" s="3" t="s">
        <v>108</v>
      </c>
      <c r="B24" s="4" t="s">
        <v>98</v>
      </c>
      <c r="C24" s="4" t="s">
        <v>99</v>
      </c>
      <c r="D24" s="152">
        <v>30.5</v>
      </c>
      <c r="E24" s="152">
        <f>D24</f>
        <v>30.5</v>
      </c>
      <c r="F24" s="152">
        <f>D24</f>
        <v>30.5</v>
      </c>
    </row>
    <row r="25" spans="1:6" x14ac:dyDescent="0.25">
      <c r="A25" s="3" t="s">
        <v>109</v>
      </c>
      <c r="B25" s="4" t="s">
        <v>101</v>
      </c>
      <c r="C25" s="4" t="s">
        <v>86</v>
      </c>
      <c r="D25" s="92">
        <f>D16*D24/100</f>
        <v>2635.9901429152383</v>
      </c>
      <c r="E25" s="92">
        <f>E16*E24/100</f>
        <v>2768.4882877847758</v>
      </c>
      <c r="F25" s="92">
        <f t="shared" ref="F25" si="4">F16*F24/100</f>
        <v>2898.7926862868744</v>
      </c>
    </row>
    <row r="26" spans="1:6" x14ac:dyDescent="0.25">
      <c r="A26" s="3" t="s">
        <v>110</v>
      </c>
      <c r="B26" s="4" t="s">
        <v>111</v>
      </c>
      <c r="C26" s="4"/>
      <c r="D26" s="152"/>
      <c r="E26" s="152"/>
      <c r="F26" s="27"/>
    </row>
    <row r="27" spans="1:6" x14ac:dyDescent="0.25">
      <c r="A27" s="3" t="s">
        <v>112</v>
      </c>
      <c r="B27" s="4" t="s">
        <v>98</v>
      </c>
      <c r="C27" s="4" t="s">
        <v>99</v>
      </c>
      <c r="D27" s="92">
        <v>15.361499999999999</v>
      </c>
      <c r="E27" s="92">
        <f>D27</f>
        <v>15.361499999999999</v>
      </c>
      <c r="F27" s="92">
        <f>D27</f>
        <v>15.361499999999999</v>
      </c>
    </row>
    <row r="28" spans="1:6" x14ac:dyDescent="0.25">
      <c r="A28" s="3" t="s">
        <v>113</v>
      </c>
      <c r="B28" s="4" t="s">
        <v>101</v>
      </c>
      <c r="C28" s="4" t="s">
        <v>86</v>
      </c>
      <c r="D28" s="92">
        <f>D16*D27/100</f>
        <v>1327.6315600128667</v>
      </c>
      <c r="E28" s="92">
        <f>E16*E27/100</f>
        <v>1394.3650109116663</v>
      </c>
      <c r="F28" s="92">
        <f t="shared" ref="F28" si="5">F16*F27/100</f>
        <v>1459.9935688654366</v>
      </c>
    </row>
    <row r="29" spans="1:6" x14ac:dyDescent="0.25">
      <c r="A29" s="3" t="s">
        <v>114</v>
      </c>
      <c r="B29" s="4" t="s">
        <v>128</v>
      </c>
      <c r="C29" s="4"/>
      <c r="D29" s="152"/>
      <c r="E29" s="152"/>
      <c r="F29" s="27"/>
    </row>
    <row r="30" spans="1:6" x14ac:dyDescent="0.25">
      <c r="A30" s="3" t="s">
        <v>115</v>
      </c>
      <c r="B30" s="4" t="s">
        <v>98</v>
      </c>
      <c r="C30" s="4" t="s">
        <v>99</v>
      </c>
      <c r="D30" s="152">
        <v>120</v>
      </c>
      <c r="E30" s="152">
        <f>D30</f>
        <v>120</v>
      </c>
      <c r="F30" s="152">
        <v>120</v>
      </c>
    </row>
    <row r="31" spans="1:6" x14ac:dyDescent="0.25">
      <c r="A31" s="3" t="s">
        <v>116</v>
      </c>
      <c r="B31" s="4" t="s">
        <v>101</v>
      </c>
      <c r="C31" s="4" t="s">
        <v>86</v>
      </c>
      <c r="D31" s="92">
        <f>(D16+D18+D22+D25+D28)*D30/100</f>
        <v>26431.963349846243</v>
      </c>
      <c r="E31" s="92">
        <f>(E16+E18+E22+E25+E28)*E30/100</f>
        <v>27760.566993728244</v>
      </c>
      <c r="F31" s="92">
        <f t="shared" ref="F31" si="6">(F16+F18+F22+F25+F28)*F30/100</f>
        <v>29067.173201944999</v>
      </c>
    </row>
    <row r="32" spans="1:6" x14ac:dyDescent="0.25">
      <c r="A32" s="3" t="s">
        <v>117</v>
      </c>
      <c r="B32" s="4" t="s">
        <v>129</v>
      </c>
      <c r="C32" s="4" t="s">
        <v>86</v>
      </c>
      <c r="D32" s="92">
        <f>D31+D28+D25+D22+D18+D16</f>
        <v>48458.59947471811</v>
      </c>
      <c r="E32" s="92">
        <f>E31+E28+E25+E22+E18+E16</f>
        <v>50894.37282183511</v>
      </c>
      <c r="F32" s="92">
        <f t="shared" ref="F32" si="7">F31+F28+F25+F22+F18+F16</f>
        <v>53289.817536899165</v>
      </c>
    </row>
    <row r="33" spans="1:9" ht="25.5" x14ac:dyDescent="0.25">
      <c r="A33" s="3">
        <v>3</v>
      </c>
      <c r="B33" s="4" t="s">
        <v>130</v>
      </c>
      <c r="C33" s="4"/>
      <c r="D33" s="152"/>
      <c r="E33" s="152"/>
      <c r="F33" s="27"/>
    </row>
    <row r="34" spans="1:9" ht="25.5" x14ac:dyDescent="0.25">
      <c r="A34" s="3" t="s">
        <v>118</v>
      </c>
      <c r="B34" s="4" t="s">
        <v>119</v>
      </c>
      <c r="C34" s="4" t="s">
        <v>0</v>
      </c>
      <c r="D34" s="152"/>
      <c r="E34" s="152"/>
      <c r="F34" s="152"/>
    </row>
    <row r="35" spans="1:9" x14ac:dyDescent="0.25">
      <c r="A35" s="3" t="s">
        <v>120</v>
      </c>
      <c r="B35" s="4" t="s">
        <v>121</v>
      </c>
      <c r="C35" s="4" t="s">
        <v>95</v>
      </c>
      <c r="D35" s="152"/>
      <c r="E35" s="152"/>
      <c r="F35" s="27"/>
    </row>
    <row r="36" spans="1:9" x14ac:dyDescent="0.25">
      <c r="A36" s="3" t="s">
        <v>122</v>
      </c>
      <c r="B36" s="4" t="s">
        <v>123</v>
      </c>
      <c r="C36" s="4" t="s">
        <v>95</v>
      </c>
      <c r="D36" s="92">
        <f>(D32+D34/D9)*D9*12/1000</f>
        <v>10309.260244472593</v>
      </c>
      <c r="E36" s="92">
        <f>(E32+E34/E9)*E9*6/1000</f>
        <v>3209.401361161134</v>
      </c>
      <c r="F36" s="92">
        <f t="shared" ref="F36" si="8">(F32+F34/F9)*F9*12/1000</f>
        <v>6720.9164179178833</v>
      </c>
    </row>
    <row r="37" spans="1:9" x14ac:dyDescent="0.25">
      <c r="A37"/>
      <c r="E37" s="13"/>
      <c r="I37" s="13"/>
    </row>
    <row r="38" spans="1:9" s="13" customFormat="1" x14ac:dyDescent="0.25">
      <c r="A38" s="308" t="s">
        <v>320</v>
      </c>
      <c r="B38" s="308"/>
      <c r="C38" s="308"/>
      <c r="D38" s="308"/>
      <c r="E38" s="191"/>
    </row>
    <row r="39" spans="1:9" s="13" customFormat="1" ht="25.5" x14ac:dyDescent="0.25">
      <c r="A39" s="56"/>
      <c r="B39" s="9"/>
      <c r="C39" s="111" t="s">
        <v>321</v>
      </c>
      <c r="D39" s="111" t="s">
        <v>447</v>
      </c>
      <c r="E39" s="111" t="s">
        <v>322</v>
      </c>
      <c r="F39" s="111" t="s">
        <v>326</v>
      </c>
    </row>
    <row r="40" spans="1:9" s="13" customFormat="1" ht="30" x14ac:dyDescent="0.25">
      <c r="A40" s="56">
        <v>1</v>
      </c>
      <c r="B40" s="109" t="s">
        <v>323</v>
      </c>
      <c r="C40" s="110">
        <v>91086.206000000006</v>
      </c>
      <c r="D40" s="110">
        <v>426528</v>
      </c>
      <c r="E40" s="110">
        <v>85256</v>
      </c>
      <c r="F40" s="114">
        <f>E40/C40*100</f>
        <v>93.599243775726038</v>
      </c>
    </row>
    <row r="41" spans="1:9" s="13" customFormat="1" ht="30" x14ac:dyDescent="0.25">
      <c r="A41" s="56">
        <v>2</v>
      </c>
      <c r="B41" s="109" t="s">
        <v>324</v>
      </c>
      <c r="C41" s="110">
        <v>48828.788</v>
      </c>
      <c r="D41" s="110">
        <v>14474</v>
      </c>
      <c r="E41" s="110">
        <v>28947</v>
      </c>
      <c r="F41" s="116">
        <f>E41/C41*100</f>
        <v>59.282651045936262</v>
      </c>
    </row>
    <row r="42" spans="1:9" s="13" customFormat="1" x14ac:dyDescent="0.25">
      <c r="A42" s="56">
        <v>3</v>
      </c>
      <c r="B42" s="112" t="s">
        <v>325</v>
      </c>
      <c r="C42" s="113">
        <v>139914.99400000001</v>
      </c>
      <c r="D42" s="113">
        <v>57102</v>
      </c>
      <c r="E42" s="113">
        <v>114203</v>
      </c>
      <c r="F42" s="115">
        <f>E42/C42*100</f>
        <v>81.623131828172745</v>
      </c>
    </row>
    <row r="43" spans="1:9" s="13" customFormat="1" x14ac:dyDescent="0.25"/>
    <row r="44" spans="1:9" x14ac:dyDescent="0.25">
      <c r="A44" s="305" t="s">
        <v>173</v>
      </c>
      <c r="B44" s="305"/>
      <c r="C44" s="17"/>
      <c r="D44" s="13"/>
      <c r="E44" s="17" t="s">
        <v>174</v>
      </c>
    </row>
    <row r="45" spans="1:9" x14ac:dyDescent="0.25">
      <c r="A45" s="306" t="s">
        <v>175</v>
      </c>
      <c r="B45" s="306"/>
      <c r="C45" s="13" t="s">
        <v>177</v>
      </c>
      <c r="D45" s="13"/>
      <c r="E45" s="18" t="s">
        <v>176</v>
      </c>
    </row>
    <row r="46" spans="1:9" x14ac:dyDescent="0.25">
      <c r="A46"/>
    </row>
    <row r="47" spans="1:9" x14ac:dyDescent="0.25">
      <c r="A47" t="s">
        <v>196</v>
      </c>
    </row>
    <row r="48" spans="1:9" x14ac:dyDescent="0.25">
      <c r="A48"/>
      <c r="D48" s="24"/>
      <c r="E48" s="24"/>
      <c r="F48" s="24"/>
    </row>
    <row r="49" spans="1:10" x14ac:dyDescent="0.25">
      <c r="A49"/>
      <c r="D49" s="155"/>
      <c r="E49" s="5"/>
      <c r="G49" s="5"/>
      <c r="I49" s="13"/>
      <c r="J49" s="30"/>
    </row>
    <row r="50" spans="1:10" x14ac:dyDescent="0.25">
      <c r="A50"/>
      <c r="D50" s="155"/>
      <c r="E50" s="37"/>
      <c r="G50" s="37"/>
    </row>
    <row r="51" spans="1:10" x14ac:dyDescent="0.25">
      <c r="A51"/>
      <c r="D51" s="156"/>
    </row>
    <row r="52" spans="1:10" x14ac:dyDescent="0.25">
      <c r="A52"/>
      <c r="E52" s="5"/>
    </row>
    <row r="53" spans="1:10" x14ac:dyDescent="0.25">
      <c r="A53"/>
    </row>
    <row r="54" spans="1:10" x14ac:dyDescent="0.25">
      <c r="A54"/>
    </row>
    <row r="55" spans="1:10" x14ac:dyDescent="0.25">
      <c r="A55"/>
    </row>
    <row r="56" spans="1:10" x14ac:dyDescent="0.25">
      <c r="A56"/>
    </row>
    <row r="57" spans="1:10" x14ac:dyDescent="0.25">
      <c r="A57"/>
    </row>
    <row r="58" spans="1:10" x14ac:dyDescent="0.25">
      <c r="A58"/>
    </row>
    <row r="59" spans="1:10" x14ac:dyDescent="0.25">
      <c r="A59"/>
    </row>
    <row r="60" spans="1:10" x14ac:dyDescent="0.25">
      <c r="A60"/>
    </row>
  </sheetData>
  <mergeCells count="4">
    <mergeCell ref="A44:B44"/>
    <mergeCell ref="A45:B45"/>
    <mergeCell ref="A3:E3"/>
    <mergeCell ref="A38:D38"/>
  </mergeCells>
  <pageMargins left="0.70866141732283472" right="0.31496062992125984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72"/>
  <sheetViews>
    <sheetView topLeftCell="C49" zoomScale="130" zoomScaleNormal="130" zoomScaleSheetLayoutView="85" workbookViewId="0">
      <selection activeCell="C31" sqref="C31"/>
    </sheetView>
  </sheetViews>
  <sheetFormatPr defaultRowHeight="15" x14ac:dyDescent="0.25"/>
  <cols>
    <col min="1" max="1" width="7.5703125" style="36" customWidth="1"/>
    <col min="2" max="2" width="43.85546875" style="36" customWidth="1"/>
    <col min="3" max="4" width="17.140625" style="36" customWidth="1"/>
    <col min="5" max="5" width="34.85546875" style="36" customWidth="1"/>
    <col min="6" max="6" width="72" style="36" customWidth="1"/>
    <col min="7" max="8" width="35.5703125" style="36" customWidth="1"/>
    <col min="9" max="9" width="21.140625" style="36" customWidth="1"/>
    <col min="10" max="10" width="17.28515625" style="36" customWidth="1"/>
    <col min="11" max="11" width="12.42578125" style="36" customWidth="1"/>
    <col min="12" max="12" width="11" style="36" customWidth="1"/>
    <col min="13" max="13" width="11.42578125" style="36" customWidth="1"/>
    <col min="14" max="21" width="9.140625" style="36"/>
    <col min="22" max="22" width="11.42578125" style="36" customWidth="1"/>
    <col min="23" max="16384" width="9.140625" style="36"/>
  </cols>
  <sheetData>
    <row r="1" spans="1:9" x14ac:dyDescent="0.25">
      <c r="F1" s="194" t="s">
        <v>194</v>
      </c>
      <c r="G1" s="195"/>
      <c r="H1" s="195"/>
    </row>
    <row r="2" spans="1:9" x14ac:dyDescent="0.25">
      <c r="F2" s="194"/>
      <c r="G2" s="195"/>
      <c r="H2" s="195"/>
    </row>
    <row r="3" spans="1:9" ht="18.75" x14ac:dyDescent="0.3">
      <c r="A3" s="311" t="s">
        <v>327</v>
      </c>
      <c r="B3" s="311"/>
      <c r="C3" s="311"/>
      <c r="D3" s="311"/>
      <c r="E3" s="311"/>
      <c r="F3" s="311"/>
      <c r="G3" s="196"/>
      <c r="H3" s="197"/>
    </row>
    <row r="4" spans="1:9" x14ac:dyDescent="0.25">
      <c r="A4" s="198"/>
      <c r="B4" s="198"/>
      <c r="C4" s="198"/>
      <c r="D4" s="198"/>
      <c r="E4" s="198"/>
      <c r="F4" s="198"/>
    </row>
    <row r="5" spans="1:9" x14ac:dyDescent="0.25">
      <c r="A5" s="199"/>
      <c r="E5" s="200"/>
      <c r="F5" s="200" t="s">
        <v>59</v>
      </c>
    </row>
    <row r="6" spans="1:9" s="201" customFormat="1" ht="47.25" x14ac:dyDescent="0.25">
      <c r="A6" s="100" t="s">
        <v>1</v>
      </c>
      <c r="B6" s="100" t="s">
        <v>2</v>
      </c>
      <c r="C6" s="100" t="s">
        <v>318</v>
      </c>
      <c r="D6" s="100" t="s">
        <v>449</v>
      </c>
      <c r="E6" s="100" t="s">
        <v>319</v>
      </c>
      <c r="F6" s="100" t="s">
        <v>60</v>
      </c>
      <c r="H6" s="36"/>
      <c r="I6" s="36"/>
    </row>
    <row r="7" spans="1:9" x14ac:dyDescent="0.25">
      <c r="A7" s="151">
        <v>1</v>
      </c>
      <c r="B7" s="151">
        <v>2</v>
      </c>
      <c r="C7" s="151">
        <v>3</v>
      </c>
      <c r="D7" s="151">
        <v>4</v>
      </c>
      <c r="E7" s="151">
        <v>5</v>
      </c>
      <c r="F7" s="151">
        <v>6</v>
      </c>
    </row>
    <row r="8" spans="1:9" ht="38.25" x14ac:dyDescent="0.25">
      <c r="A8" s="26">
        <v>1</v>
      </c>
      <c r="B8" s="26" t="s">
        <v>3</v>
      </c>
      <c r="C8" s="202">
        <v>105.93603677822097</v>
      </c>
      <c r="D8" s="202">
        <f>C8/2</f>
        <v>52.968018389110483</v>
      </c>
      <c r="E8" s="202">
        <f>C8*$F$62/100*1.058*1.049</f>
        <v>69.699954359611056</v>
      </c>
      <c r="F8" s="92" t="s">
        <v>332</v>
      </c>
      <c r="G8" s="203"/>
      <c r="H8" s="204"/>
    </row>
    <row r="9" spans="1:9" x14ac:dyDescent="0.25">
      <c r="A9" s="26">
        <v>2</v>
      </c>
      <c r="B9" s="26" t="s">
        <v>4</v>
      </c>
      <c r="C9" s="152">
        <v>0</v>
      </c>
      <c r="D9" s="152"/>
      <c r="E9" s="152"/>
      <c r="F9" s="152"/>
    </row>
    <row r="10" spans="1:9" x14ac:dyDescent="0.25">
      <c r="A10" s="152"/>
      <c r="B10" s="9" t="s">
        <v>5</v>
      </c>
      <c r="C10" s="101">
        <v>0</v>
      </c>
      <c r="D10" s="101"/>
      <c r="E10" s="101"/>
      <c r="F10" s="101"/>
    </row>
    <row r="11" spans="1:9" ht="38.25" x14ac:dyDescent="0.25">
      <c r="A11" s="26">
        <v>3</v>
      </c>
      <c r="B11" s="26" t="s">
        <v>50</v>
      </c>
      <c r="C11" s="202">
        <v>194.43731611979189</v>
      </c>
      <c r="D11" s="202">
        <f>C11/2</f>
        <v>97.218658059895944</v>
      </c>
      <c r="E11" s="202">
        <f>C11*$F$62/100*1.058*1.049</f>
        <v>127.92881885629431</v>
      </c>
      <c r="F11" s="92" t="s">
        <v>332</v>
      </c>
      <c r="G11" s="203"/>
    </row>
    <row r="12" spans="1:9" x14ac:dyDescent="0.25">
      <c r="A12" s="152"/>
      <c r="B12" s="9" t="s">
        <v>5</v>
      </c>
      <c r="C12" s="152">
        <v>0</v>
      </c>
      <c r="D12" s="152"/>
      <c r="E12" s="152"/>
      <c r="F12" s="152"/>
    </row>
    <row r="13" spans="1:9" x14ac:dyDescent="0.25">
      <c r="A13" s="26">
        <v>4</v>
      </c>
      <c r="B13" s="26" t="s">
        <v>6</v>
      </c>
      <c r="C13" s="152">
        <v>0</v>
      </c>
      <c r="D13" s="152"/>
      <c r="E13" s="152"/>
      <c r="F13" s="152"/>
    </row>
    <row r="14" spans="1:9" x14ac:dyDescent="0.25">
      <c r="A14" s="26">
        <v>5</v>
      </c>
      <c r="B14" s="26" t="s">
        <v>7</v>
      </c>
      <c r="C14" s="205">
        <f>C15</f>
        <v>6952.2645599999996</v>
      </c>
      <c r="D14" s="206">
        <f>D15</f>
        <v>1400</v>
      </c>
      <c r="E14" s="206">
        <f t="shared" ref="E14" si="0">E15</f>
        <v>2800</v>
      </c>
      <c r="F14" s="26"/>
    </row>
    <row r="15" spans="1:9" s="211" customFormat="1" x14ac:dyDescent="0.25">
      <c r="A15" s="9" t="s">
        <v>8</v>
      </c>
      <c r="B15" s="9" t="s">
        <v>170</v>
      </c>
      <c r="C15" s="207">
        <v>6952.2645599999996</v>
      </c>
      <c r="D15" s="208">
        <f>E15/2</f>
        <v>1400</v>
      </c>
      <c r="E15" s="208">
        <f>2800</f>
        <v>2800</v>
      </c>
      <c r="F15" s="209"/>
      <c r="G15" s="210"/>
    </row>
    <row r="16" spans="1:9" x14ac:dyDescent="0.25">
      <c r="A16" s="26">
        <v>6</v>
      </c>
      <c r="B16" s="26" t="s">
        <v>9</v>
      </c>
      <c r="C16" s="102">
        <f>'1.16'!D36</f>
        <v>10309.260244472593</v>
      </c>
      <c r="D16" s="102">
        <f>'1.16'!E36</f>
        <v>3209.401361161134</v>
      </c>
      <c r="E16" s="102">
        <f>'1.16'!F36</f>
        <v>6720.9164179178833</v>
      </c>
      <c r="F16" s="95" t="s">
        <v>310</v>
      </c>
    </row>
    <row r="17" spans="1:8" x14ac:dyDescent="0.25">
      <c r="A17" s="152"/>
      <c r="B17" s="9" t="s">
        <v>5</v>
      </c>
      <c r="C17" s="152">
        <v>0</v>
      </c>
      <c r="D17" s="152"/>
      <c r="E17" s="152">
        <v>0</v>
      </c>
      <c r="F17" s="95"/>
    </row>
    <row r="18" spans="1:8" ht="25.5" x14ac:dyDescent="0.25">
      <c r="A18" s="26">
        <v>7</v>
      </c>
      <c r="B18" s="26" t="s">
        <v>10</v>
      </c>
      <c r="C18" s="97">
        <v>2550.2713439746267</v>
      </c>
      <c r="D18" s="97">
        <f>D16*H18</f>
        <v>861.32872225511801</v>
      </c>
      <c r="E18" s="97">
        <f>E16*H18</f>
        <v>1803.7377377238581</v>
      </c>
      <c r="F18" s="95" t="s">
        <v>461</v>
      </c>
      <c r="G18" s="36">
        <v>0.24737675482990901</v>
      </c>
      <c r="H18" s="36">
        <f>G18+0.021</f>
        <v>0.26837675482990903</v>
      </c>
    </row>
    <row r="19" spans="1:8" x14ac:dyDescent="0.25">
      <c r="A19" s="152"/>
      <c r="B19" s="9" t="s">
        <v>5</v>
      </c>
      <c r="C19" s="103">
        <v>0</v>
      </c>
      <c r="D19" s="103"/>
      <c r="E19" s="103">
        <v>0</v>
      </c>
      <c r="F19" s="95"/>
    </row>
    <row r="20" spans="1:8" x14ac:dyDescent="0.25">
      <c r="A20" s="26">
        <v>8</v>
      </c>
      <c r="B20" s="26" t="s">
        <v>11</v>
      </c>
      <c r="C20" s="202">
        <v>226.79609242530327</v>
      </c>
      <c r="D20" s="202">
        <f>'амортизация на 2п17'!M45/1000</f>
        <v>96.037583061889265</v>
      </c>
      <c r="E20" s="202">
        <f>'амортизация на 18'!M45/1000</f>
        <v>186.10277564512316</v>
      </c>
      <c r="F20" s="95" t="s">
        <v>315</v>
      </c>
      <c r="G20" s="210"/>
    </row>
    <row r="21" spans="1:8" x14ac:dyDescent="0.25">
      <c r="A21" s="26">
        <v>9</v>
      </c>
      <c r="B21" s="26" t="s">
        <v>12</v>
      </c>
      <c r="C21" s="104"/>
      <c r="D21" s="104"/>
      <c r="E21" s="104"/>
      <c r="F21" s="152"/>
    </row>
    <row r="22" spans="1:8" x14ac:dyDescent="0.25">
      <c r="A22" s="9" t="s">
        <v>13</v>
      </c>
      <c r="B22" s="152" t="s">
        <v>14</v>
      </c>
      <c r="C22" s="152">
        <v>0</v>
      </c>
      <c r="D22" s="152"/>
      <c r="E22" s="152">
        <v>0</v>
      </c>
      <c r="F22" s="152"/>
    </row>
    <row r="23" spans="1:8" x14ac:dyDescent="0.25">
      <c r="A23" s="9" t="s">
        <v>15</v>
      </c>
      <c r="B23" s="152" t="s">
        <v>16</v>
      </c>
      <c r="C23" s="152">
        <v>0</v>
      </c>
      <c r="D23" s="152"/>
      <c r="E23" s="152">
        <v>0</v>
      </c>
      <c r="F23" s="152"/>
    </row>
    <row r="24" spans="1:8" ht="25.5" x14ac:dyDescent="0.25">
      <c r="A24" s="9" t="s">
        <v>17</v>
      </c>
      <c r="B24" s="152" t="s">
        <v>51</v>
      </c>
      <c r="C24" s="152">
        <v>0</v>
      </c>
      <c r="D24" s="152"/>
      <c r="E24" s="152">
        <v>0</v>
      </c>
      <c r="F24" s="152"/>
    </row>
    <row r="25" spans="1:8" ht="114.75" x14ac:dyDescent="0.25">
      <c r="A25" s="101" t="s">
        <v>18</v>
      </c>
      <c r="B25" s="152" t="s">
        <v>52</v>
      </c>
      <c r="C25" s="152">
        <v>0</v>
      </c>
      <c r="D25" s="152"/>
      <c r="E25" s="152">
        <v>0</v>
      </c>
      <c r="F25" s="152"/>
    </row>
    <row r="26" spans="1:8" ht="25.5" x14ac:dyDescent="0.25">
      <c r="A26" s="152" t="s">
        <v>19</v>
      </c>
      <c r="B26" s="152" t="s">
        <v>53</v>
      </c>
      <c r="C26" s="152">
        <v>0</v>
      </c>
      <c r="D26" s="152"/>
      <c r="E26" s="152">
        <v>0</v>
      </c>
      <c r="F26" s="26"/>
    </row>
    <row r="27" spans="1:8" x14ac:dyDescent="0.25">
      <c r="A27" s="152" t="s">
        <v>20</v>
      </c>
      <c r="B27" s="152" t="s">
        <v>21</v>
      </c>
      <c r="C27" s="152">
        <v>0</v>
      </c>
      <c r="D27" s="152"/>
      <c r="E27" s="152">
        <v>0</v>
      </c>
      <c r="F27" s="152"/>
    </row>
    <row r="28" spans="1:8" ht="25.5" x14ac:dyDescent="0.25">
      <c r="A28" s="152" t="s">
        <v>22</v>
      </c>
      <c r="B28" s="152" t="s">
        <v>54</v>
      </c>
      <c r="C28" s="152"/>
      <c r="D28" s="152"/>
      <c r="E28" s="152"/>
      <c r="F28" s="152"/>
    </row>
    <row r="29" spans="1:8" x14ac:dyDescent="0.25">
      <c r="A29" s="9" t="s">
        <v>23</v>
      </c>
      <c r="B29" s="9" t="s">
        <v>24</v>
      </c>
      <c r="C29" s="152"/>
      <c r="D29" s="152"/>
      <c r="E29" s="152"/>
      <c r="F29" s="152"/>
    </row>
    <row r="30" spans="1:8" x14ac:dyDescent="0.25">
      <c r="A30" s="9" t="s">
        <v>25</v>
      </c>
      <c r="B30" s="9" t="s">
        <v>26</v>
      </c>
      <c r="C30" s="152">
        <v>0</v>
      </c>
      <c r="D30" s="152"/>
      <c r="E30" s="152">
        <v>0</v>
      </c>
      <c r="F30" s="152"/>
    </row>
    <row r="31" spans="1:8" x14ac:dyDescent="0.25">
      <c r="A31" s="9" t="s">
        <v>313</v>
      </c>
      <c r="B31" s="9" t="s">
        <v>314</v>
      </c>
      <c r="C31" s="92">
        <v>32.336832000000001</v>
      </c>
      <c r="D31" s="212" t="s">
        <v>180</v>
      </c>
      <c r="E31" s="92">
        <f>'налог_имущ_на 18'!R44/1000</f>
        <v>32.498119369646091</v>
      </c>
      <c r="F31" s="92" t="s">
        <v>315</v>
      </c>
    </row>
    <row r="32" spans="1:8" ht="25.5" x14ac:dyDescent="0.25">
      <c r="A32" s="152" t="s">
        <v>27</v>
      </c>
      <c r="B32" s="152" t="s">
        <v>55</v>
      </c>
      <c r="C32" s="95">
        <f>C33</f>
        <v>447.45756</v>
      </c>
      <c r="D32" s="95">
        <v>0</v>
      </c>
      <c r="E32" s="95">
        <v>0</v>
      </c>
      <c r="F32" s="152"/>
    </row>
    <row r="33" spans="1:9" x14ac:dyDescent="0.25">
      <c r="A33" s="9" t="s">
        <v>28</v>
      </c>
      <c r="B33" s="9" t="s">
        <v>29</v>
      </c>
      <c r="C33" s="106">
        <v>447.45756</v>
      </c>
      <c r="D33" s="106"/>
      <c r="E33" s="161">
        <v>0</v>
      </c>
      <c r="F33" s="92" t="s">
        <v>237</v>
      </c>
    </row>
    <row r="34" spans="1:9" ht="38.25" x14ac:dyDescent="0.25">
      <c r="A34" s="29" t="s">
        <v>62</v>
      </c>
      <c r="B34" s="29" t="s">
        <v>63</v>
      </c>
      <c r="C34" s="202">
        <v>5763.8779552790238</v>
      </c>
      <c r="D34" s="202">
        <f>C34*$F$62/100*1.058/2</f>
        <v>1807.5822374641646</v>
      </c>
      <c r="E34" s="202">
        <f t="shared" ref="E34:E40" si="1">C34*$F$62/100*1.058*1.049</f>
        <v>3792.3075341998169</v>
      </c>
      <c r="F34" s="92" t="s">
        <v>332</v>
      </c>
    </row>
    <row r="35" spans="1:9" ht="38.25" x14ac:dyDescent="0.25">
      <c r="A35" s="29" t="s">
        <v>61</v>
      </c>
      <c r="B35" s="29" t="s">
        <v>64</v>
      </c>
      <c r="C35" s="202">
        <v>11645.7947957245</v>
      </c>
      <c r="D35" s="202">
        <f>C35*$F$62/100*1.058/2</f>
        <v>3652.1820859555605</v>
      </c>
      <c r="E35" s="202">
        <f t="shared" si="1"/>
        <v>7662.2780163347652</v>
      </c>
      <c r="F35" s="92" t="s">
        <v>332</v>
      </c>
    </row>
    <row r="36" spans="1:9" ht="38.25" x14ac:dyDescent="0.25">
      <c r="A36" s="29" t="s">
        <v>69</v>
      </c>
      <c r="B36" s="29" t="s">
        <v>65</v>
      </c>
      <c r="C36" s="95">
        <v>613.33002566796495</v>
      </c>
      <c r="D36" s="95">
        <f t="shared" ref="D36:D40" si="2">C36*$F$62/100*1.058/2</f>
        <v>192.34350010576955</v>
      </c>
      <c r="E36" s="92">
        <f t="shared" si="1"/>
        <v>403.53666322190452</v>
      </c>
      <c r="F36" s="92" t="s">
        <v>332</v>
      </c>
      <c r="G36" s="203"/>
    </row>
    <row r="37" spans="1:9" ht="38.25" x14ac:dyDescent="0.25">
      <c r="A37" s="29" t="s">
        <v>70</v>
      </c>
      <c r="B37" s="29" t="s">
        <v>66</v>
      </c>
      <c r="C37" s="95">
        <v>1.37371206445094</v>
      </c>
      <c r="D37" s="95">
        <f t="shared" si="2"/>
        <v>0.43080327972897586</v>
      </c>
      <c r="E37" s="92">
        <f t="shared" si="1"/>
        <v>0.90382528087139136</v>
      </c>
      <c r="F37" s="92" t="s">
        <v>332</v>
      </c>
      <c r="G37" s="203"/>
    </row>
    <row r="38" spans="1:9" ht="38.25" x14ac:dyDescent="0.25">
      <c r="A38" s="29" t="s">
        <v>71</v>
      </c>
      <c r="B38" s="29" t="s">
        <v>67</v>
      </c>
      <c r="C38" s="95">
        <v>7.8681107012141602</v>
      </c>
      <c r="D38" s="95">
        <f t="shared" si="2"/>
        <v>2.4674806191707339</v>
      </c>
      <c r="E38" s="92">
        <f t="shared" si="1"/>
        <v>5.1767743390201995</v>
      </c>
      <c r="F38" s="92" t="s">
        <v>332</v>
      </c>
      <c r="G38" s="203"/>
    </row>
    <row r="39" spans="1:9" ht="38.25" x14ac:dyDescent="0.25">
      <c r="A39" s="29" t="s">
        <v>72</v>
      </c>
      <c r="B39" s="29" t="s">
        <v>68</v>
      </c>
      <c r="C39" s="92">
        <v>26.246103087864199</v>
      </c>
      <c r="D39" s="92">
        <f t="shared" si="2"/>
        <v>8.2309150388629408</v>
      </c>
      <c r="E39" s="92">
        <f t="shared" si="1"/>
        <v>17.268459751534447</v>
      </c>
      <c r="F39" s="92" t="s">
        <v>332</v>
      </c>
      <c r="G39" s="203"/>
    </row>
    <row r="40" spans="1:9" ht="38.25" x14ac:dyDescent="0.25">
      <c r="A40" s="29" t="s">
        <v>74</v>
      </c>
      <c r="B40" s="29" t="s">
        <v>73</v>
      </c>
      <c r="C40" s="92">
        <v>0.28585774116969598</v>
      </c>
      <c r="D40" s="92">
        <f t="shared" si="2"/>
        <v>8.9646480961090666E-2</v>
      </c>
      <c r="E40" s="92">
        <f t="shared" si="1"/>
        <v>0.18807831705636821</v>
      </c>
      <c r="F40" s="92" t="s">
        <v>332</v>
      </c>
      <c r="G40" s="203"/>
    </row>
    <row r="41" spans="1:9" x14ac:dyDescent="0.25">
      <c r="A41" s="29" t="s">
        <v>76</v>
      </c>
      <c r="B41" s="29" t="s">
        <v>75</v>
      </c>
      <c r="C41" s="213">
        <v>300.2561953508274</v>
      </c>
      <c r="D41" s="213">
        <f>расшифровки_2п2017!H11/1000</f>
        <v>111.80493505339878</v>
      </c>
      <c r="E41" s="213">
        <f>расшифровки_2018!H31/1000</f>
        <v>234.11953400181707</v>
      </c>
      <c r="F41" s="95" t="s">
        <v>310</v>
      </c>
      <c r="G41" s="76"/>
      <c r="H41" s="76"/>
      <c r="I41" s="76"/>
    </row>
    <row r="42" spans="1:9" s="204" customFormat="1" ht="31.5" x14ac:dyDescent="0.25">
      <c r="A42" s="214" t="s">
        <v>171</v>
      </c>
      <c r="B42" s="93" t="s">
        <v>172</v>
      </c>
      <c r="C42" s="95">
        <v>47012.622479999998</v>
      </c>
      <c r="D42" s="95">
        <f>E42/2</f>
        <v>6500</v>
      </c>
      <c r="E42" s="95">
        <v>13000</v>
      </c>
      <c r="F42" s="105"/>
      <c r="G42" s="210"/>
    </row>
    <row r="43" spans="1:9" x14ac:dyDescent="0.25">
      <c r="A43" s="26">
        <v>10</v>
      </c>
      <c r="B43" s="26" t="s">
        <v>30</v>
      </c>
      <c r="C43" s="102">
        <f>SUM(C8:C42)-C15-C33</f>
        <v>86190.41522138755</v>
      </c>
      <c r="D43" s="102">
        <f>SUM(D8:D42)-D15</f>
        <v>17992.085946924766</v>
      </c>
      <c r="E43" s="102">
        <f>SUM(E8:E42)-E15</f>
        <v>36856.662709319193</v>
      </c>
      <c r="F43" s="97"/>
    </row>
    <row r="44" spans="1:9" x14ac:dyDescent="0.25">
      <c r="A44" s="152"/>
      <c r="B44" s="9" t="s">
        <v>5</v>
      </c>
      <c r="C44" s="106">
        <f>C36+C37+C38+C39</f>
        <v>648.81795152149425</v>
      </c>
      <c r="D44" s="106">
        <f>D36+D37+D38+D39</f>
        <v>203.4726990435322</v>
      </c>
      <c r="E44" s="106">
        <f t="shared" ref="E44" si="3">E36+E37+E38+E39</f>
        <v>426.88572259333057</v>
      </c>
      <c r="F44" s="106"/>
    </row>
    <row r="45" spans="1:9" ht="25.5" x14ac:dyDescent="0.25">
      <c r="A45" s="152">
        <v>11</v>
      </c>
      <c r="B45" s="152" t="s">
        <v>56</v>
      </c>
      <c r="C45" s="152">
        <v>0</v>
      </c>
      <c r="D45" s="152">
        <v>0</v>
      </c>
      <c r="E45" s="92">
        <v>14739.625708011799</v>
      </c>
      <c r="F45" s="152" t="s">
        <v>444</v>
      </c>
    </row>
    <row r="46" spans="1:9" ht="25.5" x14ac:dyDescent="0.25">
      <c r="A46" s="152">
        <v>12</v>
      </c>
      <c r="B46" s="152" t="s">
        <v>57</v>
      </c>
      <c r="C46" s="152">
        <v>0</v>
      </c>
      <c r="D46" s="152">
        <v>0</v>
      </c>
      <c r="E46" s="152">
        <v>0</v>
      </c>
      <c r="F46" s="152"/>
    </row>
    <row r="47" spans="1:9" ht="25.5" x14ac:dyDescent="0.25">
      <c r="A47" s="152">
        <v>13</v>
      </c>
      <c r="B47" s="152" t="s">
        <v>58</v>
      </c>
      <c r="C47" s="152"/>
      <c r="D47" s="152"/>
      <c r="E47" s="152"/>
      <c r="F47" s="152"/>
    </row>
    <row r="48" spans="1:9" x14ac:dyDescent="0.25">
      <c r="A48" s="152"/>
      <c r="B48" s="215" t="s">
        <v>31</v>
      </c>
      <c r="C48" s="152"/>
      <c r="D48" s="152"/>
      <c r="E48" s="152"/>
      <c r="F48" s="152"/>
    </row>
    <row r="49" spans="1:6" ht="93.75" x14ac:dyDescent="0.25">
      <c r="A49" s="216" t="s">
        <v>32</v>
      </c>
      <c r="B49" s="216" t="s">
        <v>33</v>
      </c>
      <c r="C49" s="304">
        <f>C43</f>
        <v>86190.41522138755</v>
      </c>
      <c r="D49" s="193">
        <f>D43+D45</f>
        <v>17992.085946924766</v>
      </c>
      <c r="E49" s="193">
        <f>E43+E45</f>
        <v>51596.288417330994</v>
      </c>
      <c r="F49" s="193" t="s">
        <v>460</v>
      </c>
    </row>
    <row r="50" spans="1:6" x14ac:dyDescent="0.25">
      <c r="A50" s="9" t="s">
        <v>34</v>
      </c>
      <c r="B50" s="9" t="s">
        <v>35</v>
      </c>
      <c r="C50" s="152"/>
      <c r="D50" s="152"/>
      <c r="E50" s="152"/>
      <c r="F50" s="152"/>
    </row>
    <row r="51" spans="1:6" x14ac:dyDescent="0.25">
      <c r="A51" s="9" t="s">
        <v>36</v>
      </c>
      <c r="B51" s="9" t="s">
        <v>37</v>
      </c>
      <c r="C51" s="152"/>
      <c r="D51" s="152"/>
      <c r="E51" s="152"/>
      <c r="F51" s="152"/>
    </row>
    <row r="52" spans="1:6" x14ac:dyDescent="0.25">
      <c r="A52" s="215" t="s">
        <v>38</v>
      </c>
      <c r="B52" s="215" t="s">
        <v>39</v>
      </c>
      <c r="C52" s="107">
        <f>C43</f>
        <v>86190.41522138755</v>
      </c>
      <c r="D52" s="107">
        <f>D49</f>
        <v>17992.085946924766</v>
      </c>
      <c r="E52" s="107">
        <f>E49</f>
        <v>51596.288417330994</v>
      </c>
      <c r="F52" s="107"/>
    </row>
    <row r="53" spans="1:6" x14ac:dyDescent="0.25">
      <c r="A53" s="9" t="s">
        <v>40</v>
      </c>
      <c r="B53" s="9" t="s">
        <v>41</v>
      </c>
      <c r="C53" s="152"/>
      <c r="D53" s="152"/>
      <c r="E53" s="152"/>
      <c r="F53" s="152"/>
    </row>
    <row r="54" spans="1:6" x14ac:dyDescent="0.25">
      <c r="A54" s="9" t="s">
        <v>42</v>
      </c>
      <c r="B54" s="9" t="s">
        <v>43</v>
      </c>
      <c r="C54" s="152"/>
      <c r="D54" s="152"/>
      <c r="E54" s="152"/>
      <c r="F54" s="152"/>
    </row>
    <row r="55" spans="1:6" x14ac:dyDescent="0.25">
      <c r="A55" s="9" t="s">
        <v>44</v>
      </c>
      <c r="B55" s="9" t="s">
        <v>45</v>
      </c>
      <c r="C55" s="152"/>
      <c r="D55" s="152"/>
      <c r="E55" s="152"/>
      <c r="F55" s="152"/>
    </row>
    <row r="56" spans="1:6" x14ac:dyDescent="0.25">
      <c r="A56" s="9" t="s">
        <v>46</v>
      </c>
      <c r="B56" s="9" t="s">
        <v>47</v>
      </c>
      <c r="C56" s="152"/>
      <c r="D56" s="152"/>
      <c r="E56" s="152"/>
      <c r="F56" s="152"/>
    </row>
    <row r="57" spans="1:6" x14ac:dyDescent="0.25">
      <c r="A57" s="9" t="s">
        <v>48</v>
      </c>
      <c r="B57" s="9" t="s">
        <v>49</v>
      </c>
      <c r="C57" s="152"/>
      <c r="D57" s="152"/>
      <c r="E57" s="152"/>
      <c r="F57" s="152"/>
    </row>
    <row r="59" spans="1:6" ht="15" customHeight="1" x14ac:dyDescent="0.25">
      <c r="A59" s="308" t="s">
        <v>320</v>
      </c>
      <c r="B59" s="308"/>
      <c r="C59" s="308"/>
      <c r="D59" s="308"/>
      <c r="E59" s="308"/>
    </row>
    <row r="60" spans="1:6" ht="25.5" x14ac:dyDescent="0.25">
      <c r="A60" s="217"/>
      <c r="B60" s="9"/>
      <c r="C60" s="111" t="s">
        <v>321</v>
      </c>
      <c r="D60" s="7" t="s">
        <v>448</v>
      </c>
      <c r="E60" s="111" t="s">
        <v>322</v>
      </c>
      <c r="F60" s="111" t="s">
        <v>326</v>
      </c>
    </row>
    <row r="61" spans="1:6" ht="30" x14ac:dyDescent="0.25">
      <c r="A61" s="217">
        <v>1</v>
      </c>
      <c r="B61" s="218" t="s">
        <v>323</v>
      </c>
      <c r="C61" s="27">
        <v>91086.206000000006</v>
      </c>
      <c r="D61" s="27">
        <v>426528</v>
      </c>
      <c r="E61" s="27">
        <v>85256</v>
      </c>
      <c r="F61" s="219">
        <f>E61/C61*100</f>
        <v>93.599243775726038</v>
      </c>
    </row>
    <row r="62" spans="1:6" ht="30" x14ac:dyDescent="0.25">
      <c r="A62" s="217">
        <v>2</v>
      </c>
      <c r="B62" s="218" t="s">
        <v>324</v>
      </c>
      <c r="C62" s="27">
        <v>48828.788</v>
      </c>
      <c r="D62" s="27">
        <v>14474</v>
      </c>
      <c r="E62" s="27">
        <v>28947</v>
      </c>
      <c r="F62" s="220">
        <f>E62/C62*100</f>
        <v>59.282651045936262</v>
      </c>
    </row>
    <row r="63" spans="1:6" x14ac:dyDescent="0.25">
      <c r="A63" s="217">
        <v>3</v>
      </c>
      <c r="B63" s="221" t="s">
        <v>325</v>
      </c>
      <c r="C63" s="222">
        <v>139914.99400000001</v>
      </c>
      <c r="D63" s="222">
        <v>57102</v>
      </c>
      <c r="E63" s="222">
        <v>114203</v>
      </c>
      <c r="F63" s="223">
        <f>E63/C63*100</f>
        <v>81.623131828172745</v>
      </c>
    </row>
    <row r="65" spans="1:8" x14ac:dyDescent="0.25">
      <c r="A65" s="309" t="s">
        <v>173</v>
      </c>
      <c r="B65" s="309"/>
      <c r="C65" s="224"/>
      <c r="D65" s="225"/>
      <c r="F65" s="226" t="s">
        <v>174</v>
      </c>
      <c r="H65" s="227"/>
    </row>
    <row r="66" spans="1:8" x14ac:dyDescent="0.25">
      <c r="A66" s="310" t="s">
        <v>175</v>
      </c>
      <c r="B66" s="310"/>
      <c r="C66" s="198" t="s">
        <v>177</v>
      </c>
      <c r="D66" s="198"/>
      <c r="F66" s="228" t="s">
        <v>176</v>
      </c>
      <c r="H66" s="228"/>
    </row>
    <row r="68" spans="1:8" x14ac:dyDescent="0.25">
      <c r="B68" s="36" t="s">
        <v>196</v>
      </c>
    </row>
    <row r="72" spans="1:8" x14ac:dyDescent="0.25">
      <c r="E72" s="229"/>
    </row>
  </sheetData>
  <mergeCells count="4">
    <mergeCell ref="A65:B65"/>
    <mergeCell ref="A66:B66"/>
    <mergeCell ref="A59:E59"/>
    <mergeCell ref="A3:F3"/>
  </mergeCells>
  <printOptions horizontalCentered="1"/>
  <pageMargins left="0.70866141732283472" right="0.31496062992125984" top="0.35433070866141736" bottom="0.35433070866141736" header="0.31496062992125984" footer="0.31496062992125984"/>
  <pageSetup paperSize="9" scale="4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K71"/>
  <sheetViews>
    <sheetView view="pageBreakPreview" topLeftCell="A28" zoomScale="70" zoomScaleNormal="55" zoomScaleSheetLayoutView="70" workbookViewId="0">
      <selection activeCell="C31" sqref="C31"/>
    </sheetView>
  </sheetViews>
  <sheetFormatPr defaultRowHeight="15" x14ac:dyDescent="0.25"/>
  <cols>
    <col min="1" max="1" width="7.140625" style="14" customWidth="1"/>
    <col min="2" max="2" width="50.42578125" customWidth="1"/>
    <col min="3" max="4" width="22" style="13" customWidth="1"/>
    <col min="5" max="5" width="26.7109375" customWidth="1"/>
    <col min="6" max="6" width="33" customWidth="1"/>
    <col min="7" max="7" width="16.7109375" style="13" customWidth="1"/>
    <col min="8" max="8" width="25.140625" style="13" customWidth="1"/>
    <col min="9" max="10" width="16.7109375" style="13" customWidth="1"/>
    <col min="11" max="11" width="25.42578125" customWidth="1"/>
  </cols>
  <sheetData>
    <row r="1" spans="1:11" s="13" customFormat="1" x14ac:dyDescent="0.25">
      <c r="A1" s="14"/>
      <c r="F1" s="11" t="s">
        <v>195</v>
      </c>
      <c r="G1" s="1"/>
    </row>
    <row r="2" spans="1:11" ht="15.75" x14ac:dyDescent="0.25">
      <c r="A2" s="312" t="s">
        <v>197</v>
      </c>
      <c r="B2" s="312"/>
      <c r="C2" s="312"/>
      <c r="D2" s="312"/>
      <c r="E2" s="312"/>
      <c r="F2" s="312"/>
      <c r="G2" s="33"/>
      <c r="H2" s="33"/>
      <c r="I2" s="33"/>
      <c r="J2" s="33"/>
      <c r="K2" s="33"/>
    </row>
    <row r="3" spans="1:11" x14ac:dyDescent="0.25">
      <c r="A3" s="1"/>
    </row>
    <row r="4" spans="1:11" x14ac:dyDescent="0.25">
      <c r="A4" s="1"/>
      <c r="C4"/>
      <c r="E4" s="2"/>
      <c r="F4" s="2" t="s">
        <v>0</v>
      </c>
      <c r="G4" s="2"/>
      <c r="H4" s="2"/>
      <c r="I4" s="2"/>
      <c r="J4"/>
    </row>
    <row r="5" spans="1:11" x14ac:dyDescent="0.25">
      <c r="A5" s="316" t="s">
        <v>187</v>
      </c>
      <c r="B5" s="317" t="s">
        <v>131</v>
      </c>
      <c r="C5" s="316" t="s">
        <v>333</v>
      </c>
      <c r="D5" s="316" t="s">
        <v>450</v>
      </c>
      <c r="E5" s="318" t="s">
        <v>319</v>
      </c>
      <c r="F5" s="313" t="s">
        <v>60</v>
      </c>
      <c r="G5"/>
      <c r="H5"/>
      <c r="I5"/>
      <c r="J5"/>
    </row>
    <row r="6" spans="1:11" ht="15.75" customHeight="1" x14ac:dyDescent="0.25">
      <c r="A6" s="316"/>
      <c r="B6" s="317"/>
      <c r="C6" s="316"/>
      <c r="D6" s="316"/>
      <c r="E6" s="319"/>
      <c r="F6" s="314"/>
      <c r="G6"/>
      <c r="H6"/>
      <c r="I6"/>
      <c r="J6"/>
    </row>
    <row r="7" spans="1:11" x14ac:dyDescent="0.25">
      <c r="A7" s="316"/>
      <c r="B7" s="317"/>
      <c r="C7" s="94" t="s">
        <v>238</v>
      </c>
      <c r="D7" s="94" t="s">
        <v>238</v>
      </c>
      <c r="E7" s="94" t="s">
        <v>238</v>
      </c>
      <c r="F7" s="315"/>
      <c r="G7"/>
      <c r="H7"/>
      <c r="I7"/>
      <c r="J7"/>
    </row>
    <row r="8" spans="1:11" x14ac:dyDescent="0.25">
      <c r="A8" s="6">
        <v>1</v>
      </c>
      <c r="B8" s="6">
        <v>2</v>
      </c>
      <c r="C8" s="64">
        <v>3</v>
      </c>
      <c r="D8" s="108">
        <v>4</v>
      </c>
      <c r="E8" s="64">
        <v>5</v>
      </c>
      <c r="F8" s="64">
        <v>6</v>
      </c>
      <c r="G8"/>
      <c r="H8"/>
      <c r="I8"/>
      <c r="J8"/>
    </row>
    <row r="9" spans="1:11" ht="25.5" x14ac:dyDescent="0.25">
      <c r="A9" s="7">
        <v>1</v>
      </c>
      <c r="B9" s="26" t="s">
        <v>132</v>
      </c>
      <c r="C9" s="95">
        <f>'1.15'!C16</f>
        <v>10309.260244472593</v>
      </c>
      <c r="D9" s="95">
        <f>'1.15'!D16</f>
        <v>3209.401361161134</v>
      </c>
      <c r="E9" s="95">
        <f>'1.15'!E16</f>
        <v>6720.9164179178833</v>
      </c>
      <c r="F9" s="27"/>
      <c r="G9"/>
      <c r="H9"/>
      <c r="I9"/>
      <c r="J9"/>
    </row>
    <row r="10" spans="1:11" ht="25.5" x14ac:dyDescent="0.25">
      <c r="A10" s="7">
        <v>2</v>
      </c>
      <c r="B10" s="26" t="s">
        <v>161</v>
      </c>
      <c r="C10" s="151" t="s">
        <v>180</v>
      </c>
      <c r="D10" s="151"/>
      <c r="E10" s="151" t="s">
        <v>180</v>
      </c>
      <c r="F10" s="27"/>
      <c r="G10"/>
      <c r="H10"/>
      <c r="I10"/>
      <c r="J10"/>
    </row>
    <row r="11" spans="1:11" ht="25.5" x14ac:dyDescent="0.25">
      <c r="A11" s="7">
        <v>3</v>
      </c>
      <c r="B11" s="26" t="s">
        <v>162</v>
      </c>
      <c r="C11" s="95">
        <f>'1.15'!C18</f>
        <v>2550.2713439746267</v>
      </c>
      <c r="D11" s="95">
        <f>'1.15'!D18</f>
        <v>861.32872225511801</v>
      </c>
      <c r="E11" s="95">
        <f>'1.15'!E18</f>
        <v>1803.7377377238581</v>
      </c>
      <c r="F11" s="27"/>
      <c r="G11"/>
      <c r="H11" t="s">
        <v>236</v>
      </c>
      <c r="I11"/>
      <c r="J11"/>
    </row>
    <row r="12" spans="1:11" ht="25.5" x14ac:dyDescent="0.25">
      <c r="A12" s="7">
        <v>4</v>
      </c>
      <c r="B12" s="26" t="s">
        <v>160</v>
      </c>
      <c r="C12" s="95">
        <f t="shared" ref="C12:E12" si="0">C13+C19+C20</f>
        <v>875.61404394679755</v>
      </c>
      <c r="D12" s="95">
        <f t="shared" ref="D12" si="1">D13+D19+D20</f>
        <v>299.51028210542148</v>
      </c>
      <c r="E12" s="95">
        <f t="shared" si="0"/>
        <v>612.98849823845376</v>
      </c>
      <c r="F12" s="27"/>
      <c r="G12"/>
      <c r="H12"/>
      <c r="I12"/>
      <c r="J12"/>
    </row>
    <row r="13" spans="1:11" x14ac:dyDescent="0.25">
      <c r="A13" s="6" t="s">
        <v>133</v>
      </c>
      <c r="B13" s="8" t="s">
        <v>134</v>
      </c>
      <c r="C13" s="92">
        <f>'1.15'!C20</f>
        <v>226.79609242530327</v>
      </c>
      <c r="D13" s="92">
        <f>'1.15'!D20</f>
        <v>96.037583061889265</v>
      </c>
      <c r="E13" s="92">
        <f>'амортизация на 18'!M45/1000</f>
        <v>186.10277564512316</v>
      </c>
      <c r="F13" s="45"/>
      <c r="G13"/>
      <c r="H13"/>
      <c r="I13"/>
      <c r="J13"/>
    </row>
    <row r="14" spans="1:11" x14ac:dyDescent="0.25">
      <c r="A14" s="6"/>
      <c r="B14" s="99" t="s">
        <v>135</v>
      </c>
      <c r="C14" s="230">
        <v>48.326501976171002</v>
      </c>
      <c r="D14" s="230">
        <f>'амортизация на 2п17'!J49/1000</f>
        <v>17.571986550383524</v>
      </c>
      <c r="E14" s="230">
        <f>'амортизация на 18'!J49/1000</f>
        <v>35.143066784585343</v>
      </c>
      <c r="F14" s="27"/>
      <c r="G14"/>
      <c r="H14"/>
      <c r="I14"/>
      <c r="J14"/>
    </row>
    <row r="15" spans="1:11" x14ac:dyDescent="0.25">
      <c r="A15" s="6"/>
      <c r="B15" s="99" t="s">
        <v>136</v>
      </c>
      <c r="C15" s="230">
        <v>0</v>
      </c>
      <c r="D15" s="230">
        <v>0</v>
      </c>
      <c r="E15" s="230">
        <v>0</v>
      </c>
      <c r="F15" s="27"/>
      <c r="G15"/>
      <c r="H15"/>
      <c r="I15"/>
      <c r="J15"/>
    </row>
    <row r="16" spans="1:11" x14ac:dyDescent="0.25">
      <c r="A16" s="6"/>
      <c r="B16" s="99" t="s">
        <v>137</v>
      </c>
      <c r="C16" s="230">
        <v>0.32206514212957998</v>
      </c>
      <c r="D16" s="230">
        <f>'амортизация на 2п17'!J50/1000</f>
        <v>28.724433960281601</v>
      </c>
      <c r="E16" s="230">
        <f>'амортизация на 18'!J50/1000</f>
        <v>57.409112466397559</v>
      </c>
      <c r="F16" s="27"/>
      <c r="G16"/>
      <c r="H16"/>
      <c r="I16"/>
      <c r="J16"/>
    </row>
    <row r="17" spans="1:10" x14ac:dyDescent="0.25">
      <c r="A17" s="6"/>
      <c r="B17" s="99" t="s">
        <v>138</v>
      </c>
      <c r="C17" s="230">
        <v>0</v>
      </c>
      <c r="D17" s="230">
        <f>'амортизация на 2п17'!J51/1000</f>
        <v>0.60378039298098141</v>
      </c>
      <c r="E17" s="230">
        <f>'амортизация на 18'!J51/1000</f>
        <v>1.207529644580265</v>
      </c>
      <c r="F17" s="27"/>
      <c r="G17"/>
      <c r="H17"/>
      <c r="I17"/>
      <c r="J17"/>
    </row>
    <row r="18" spans="1:10" s="13" customFormat="1" x14ac:dyDescent="0.25">
      <c r="A18" s="6"/>
      <c r="B18" s="99" t="s">
        <v>178</v>
      </c>
      <c r="C18" s="230">
        <v>178.14752530700301</v>
      </c>
      <c r="D18" s="230">
        <f>'амортизация на 2п17'!J52/1000</f>
        <v>49.137382158243142</v>
      </c>
      <c r="E18" s="230">
        <f>'амортизация на 18'!J52/1000</f>
        <v>92.343066749559995</v>
      </c>
      <c r="F18" s="27"/>
    </row>
    <row r="19" spans="1:10" x14ac:dyDescent="0.25">
      <c r="A19" s="6" t="s">
        <v>139</v>
      </c>
      <c r="B19" s="8" t="s">
        <v>140</v>
      </c>
      <c r="C19" s="152">
        <v>0</v>
      </c>
      <c r="D19" s="152">
        <v>0</v>
      </c>
      <c r="E19" s="152">
        <v>0</v>
      </c>
      <c r="F19" s="27"/>
      <c r="G19"/>
      <c r="H19"/>
      <c r="I19"/>
      <c r="J19"/>
    </row>
    <row r="20" spans="1:10" ht="30" x14ac:dyDescent="0.25">
      <c r="A20" s="6" t="s">
        <v>141</v>
      </c>
      <c r="B20" s="8" t="s">
        <v>163</v>
      </c>
      <c r="C20" s="95">
        <f>'1.15'!C36+'1.15'!C37+'1.15'!C38+'1.15'!C39</f>
        <v>648.81795152149425</v>
      </c>
      <c r="D20" s="95">
        <f>'1.15'!D36+'1.15'!D37+'1.15'!D38+'1.15'!D39</f>
        <v>203.4726990435322</v>
      </c>
      <c r="E20" s="95">
        <f>'1.15'!E36+'1.15'!E37+'1.15'!E38+'1.15'!E39</f>
        <v>426.88572259333057</v>
      </c>
      <c r="F20" s="28" t="s">
        <v>188</v>
      </c>
      <c r="G20"/>
      <c r="H20"/>
      <c r="I20"/>
      <c r="J20"/>
    </row>
    <row r="21" spans="1:10" ht="25.5" x14ac:dyDescent="0.25">
      <c r="A21" s="7">
        <v>5</v>
      </c>
      <c r="B21" s="26" t="s">
        <v>164</v>
      </c>
      <c r="C21" s="151" t="s">
        <v>180</v>
      </c>
      <c r="D21" s="151"/>
      <c r="E21" s="151" t="s">
        <v>180</v>
      </c>
      <c r="F21" s="27"/>
      <c r="G21"/>
      <c r="H21"/>
      <c r="I21"/>
      <c r="J21"/>
    </row>
    <row r="22" spans="1:10" x14ac:dyDescent="0.25">
      <c r="A22" s="7">
        <v>6</v>
      </c>
      <c r="B22" s="26" t="s">
        <v>142</v>
      </c>
      <c r="C22" s="95">
        <f>'1.15'!C34</f>
        <v>5763.8779552790238</v>
      </c>
      <c r="D22" s="95">
        <f>'1.15'!D34</f>
        <v>1807.5822374641646</v>
      </c>
      <c r="E22" s="95">
        <f>'1.15'!E34</f>
        <v>3792.3075341998169</v>
      </c>
      <c r="F22" s="27"/>
      <c r="G22"/>
      <c r="H22"/>
      <c r="I22"/>
      <c r="J22"/>
    </row>
    <row r="23" spans="1:10" x14ac:dyDescent="0.25">
      <c r="A23" s="7">
        <v>7</v>
      </c>
      <c r="B23" s="26" t="s">
        <v>143</v>
      </c>
      <c r="C23" s="95">
        <f>'1.15'!C35</f>
        <v>11645.7947957245</v>
      </c>
      <c r="D23" s="95">
        <f>'1.15'!D35</f>
        <v>3652.1820859555605</v>
      </c>
      <c r="E23" s="95">
        <f>'1.15'!E35</f>
        <v>7662.2780163347652</v>
      </c>
      <c r="F23" s="27"/>
      <c r="G23"/>
      <c r="H23"/>
      <c r="I23"/>
      <c r="J23"/>
    </row>
    <row r="24" spans="1:10" x14ac:dyDescent="0.25">
      <c r="A24" s="6" t="s">
        <v>144</v>
      </c>
      <c r="B24" s="8" t="s">
        <v>145</v>
      </c>
      <c r="C24" s="151" t="s">
        <v>180</v>
      </c>
      <c r="D24" s="151"/>
      <c r="E24" s="151" t="s">
        <v>180</v>
      </c>
      <c r="F24" s="27"/>
      <c r="G24"/>
      <c r="H24"/>
      <c r="I24"/>
      <c r="J24"/>
    </row>
    <row r="25" spans="1:10" x14ac:dyDescent="0.25">
      <c r="A25" s="6" t="s">
        <v>146</v>
      </c>
      <c r="B25" s="8" t="s">
        <v>147</v>
      </c>
      <c r="C25" s="151" t="s">
        <v>180</v>
      </c>
      <c r="D25" s="151"/>
      <c r="E25" s="151" t="s">
        <v>180</v>
      </c>
      <c r="F25" s="27"/>
      <c r="G25"/>
      <c r="H25"/>
      <c r="I25"/>
      <c r="J25"/>
    </row>
    <row r="26" spans="1:10" ht="25.5" x14ac:dyDescent="0.25">
      <c r="A26" s="6" t="s">
        <v>148</v>
      </c>
      <c r="B26" s="8" t="s">
        <v>165</v>
      </c>
      <c r="C26" s="151" t="s">
        <v>180</v>
      </c>
      <c r="D26" s="151"/>
      <c r="E26" s="151" t="s">
        <v>180</v>
      </c>
      <c r="F26" s="27"/>
      <c r="G26"/>
      <c r="H26"/>
      <c r="I26"/>
      <c r="J26"/>
    </row>
    <row r="27" spans="1:10" ht="25.5" x14ac:dyDescent="0.25">
      <c r="A27" s="6" t="s">
        <v>149</v>
      </c>
      <c r="B27" s="8" t="s">
        <v>166</v>
      </c>
      <c r="C27" s="151" t="s">
        <v>180</v>
      </c>
      <c r="D27" s="151"/>
      <c r="E27" s="151" t="s">
        <v>180</v>
      </c>
      <c r="F27" s="27"/>
      <c r="G27"/>
      <c r="H27"/>
      <c r="I27"/>
      <c r="J27"/>
    </row>
    <row r="28" spans="1:10" ht="25.5" x14ac:dyDescent="0.25">
      <c r="A28" s="6" t="s">
        <v>150</v>
      </c>
      <c r="B28" s="8" t="s">
        <v>167</v>
      </c>
      <c r="C28" s="151" t="s">
        <v>180</v>
      </c>
      <c r="D28" s="151"/>
      <c r="E28" s="151" t="s">
        <v>180</v>
      </c>
      <c r="F28" s="27"/>
      <c r="G28"/>
      <c r="H28"/>
      <c r="I28"/>
      <c r="J28"/>
    </row>
    <row r="29" spans="1:10" x14ac:dyDescent="0.25">
      <c r="A29" s="6"/>
      <c r="B29" s="8" t="s">
        <v>152</v>
      </c>
      <c r="C29" s="151" t="s">
        <v>180</v>
      </c>
      <c r="D29" s="151"/>
      <c r="E29" s="151" t="s">
        <v>180</v>
      </c>
      <c r="F29" s="27"/>
      <c r="G29"/>
      <c r="H29"/>
      <c r="I29"/>
      <c r="J29"/>
    </row>
    <row r="30" spans="1:10" x14ac:dyDescent="0.25">
      <c r="A30" s="6"/>
      <c r="B30" s="8" t="s">
        <v>135</v>
      </c>
      <c r="C30" s="151" t="s">
        <v>180</v>
      </c>
      <c r="D30" s="151"/>
      <c r="E30" s="151" t="s">
        <v>180</v>
      </c>
      <c r="F30" s="27"/>
      <c r="G30"/>
      <c r="H30"/>
      <c r="I30"/>
      <c r="J30"/>
    </row>
    <row r="31" spans="1:10" x14ac:dyDescent="0.25">
      <c r="A31" s="6"/>
      <c r="B31" s="8" t="s">
        <v>136</v>
      </c>
      <c r="C31" s="151" t="s">
        <v>180</v>
      </c>
      <c r="D31" s="151"/>
      <c r="E31" s="151" t="s">
        <v>180</v>
      </c>
      <c r="F31" s="27"/>
      <c r="G31"/>
      <c r="H31"/>
      <c r="I31"/>
      <c r="J31"/>
    </row>
    <row r="32" spans="1:10" x14ac:dyDescent="0.25">
      <c r="A32" s="6"/>
      <c r="B32" s="8" t="s">
        <v>137</v>
      </c>
      <c r="C32" s="151" t="s">
        <v>180</v>
      </c>
      <c r="D32" s="151"/>
      <c r="E32" s="151" t="s">
        <v>180</v>
      </c>
      <c r="F32" s="27"/>
      <c r="G32"/>
      <c r="H32"/>
      <c r="I32"/>
      <c r="J32"/>
    </row>
    <row r="33" spans="1:10" x14ac:dyDescent="0.25">
      <c r="A33" s="6"/>
      <c r="B33" s="8" t="s">
        <v>138</v>
      </c>
      <c r="C33" s="151" t="s">
        <v>180</v>
      </c>
      <c r="D33" s="151"/>
      <c r="E33" s="151" t="s">
        <v>180</v>
      </c>
      <c r="F33" s="27"/>
      <c r="G33"/>
      <c r="H33"/>
      <c r="I33"/>
      <c r="J33"/>
    </row>
    <row r="34" spans="1:10" ht="25.5" x14ac:dyDescent="0.25">
      <c r="A34" s="7">
        <v>8</v>
      </c>
      <c r="B34" s="26" t="s">
        <v>168</v>
      </c>
      <c r="C34" s="96">
        <f>SUM(C35:C42)</f>
        <v>55045.596837990008</v>
      </c>
      <c r="D34" s="96">
        <f>SUM(D35:D42)</f>
        <v>8162.0812579833664</v>
      </c>
      <c r="E34" s="96">
        <f>SUM(E35:E42)</f>
        <v>16264.434504904424</v>
      </c>
      <c r="F34" s="27"/>
      <c r="G34"/>
      <c r="H34"/>
      <c r="I34"/>
      <c r="J34"/>
    </row>
    <row r="35" spans="1:10" x14ac:dyDescent="0.25">
      <c r="A35" s="6" t="s">
        <v>181</v>
      </c>
      <c r="B35" s="8" t="s">
        <v>153</v>
      </c>
      <c r="C35" s="95">
        <f>'1.15'!C33</f>
        <v>447.45756</v>
      </c>
      <c r="D35" s="95">
        <f>'1.15'!D33</f>
        <v>0</v>
      </c>
      <c r="E35" s="95">
        <f>'1.15'!E33</f>
        <v>0</v>
      </c>
      <c r="F35" s="27"/>
      <c r="G35"/>
      <c r="H35"/>
      <c r="I35"/>
      <c r="J35"/>
    </row>
    <row r="36" spans="1:10" s="13" customFormat="1" x14ac:dyDescent="0.25">
      <c r="A36" s="6" t="s">
        <v>183</v>
      </c>
      <c r="B36" s="29" t="s">
        <v>73</v>
      </c>
      <c r="C36" s="95">
        <f>'1.15'!C40</f>
        <v>0.28585774116969598</v>
      </c>
      <c r="D36" s="95">
        <f>'1.15'!D40</f>
        <v>8.9646480961090666E-2</v>
      </c>
      <c r="E36" s="95">
        <f>'1.15'!E40</f>
        <v>0.18807831705636821</v>
      </c>
      <c r="F36" s="27"/>
    </row>
    <row r="37" spans="1:10" s="13" customFormat="1" ht="15.75" x14ac:dyDescent="0.25">
      <c r="A37" s="6" t="s">
        <v>184</v>
      </c>
      <c r="B37" s="12" t="s">
        <v>75</v>
      </c>
      <c r="C37" s="95">
        <f>'1.15'!C41</f>
        <v>300.2561953508274</v>
      </c>
      <c r="D37" s="95">
        <f>'1.15'!D41</f>
        <v>111.80493505339878</v>
      </c>
      <c r="E37" s="95">
        <f>'1.15'!E41</f>
        <v>234.11953400181707</v>
      </c>
      <c r="F37" s="27"/>
    </row>
    <row r="38" spans="1:10" s="13" customFormat="1" ht="31.5" x14ac:dyDescent="0.25">
      <c r="A38" s="6" t="s">
        <v>185</v>
      </c>
      <c r="B38" s="12" t="s">
        <v>172</v>
      </c>
      <c r="C38" s="97">
        <f>'1.15'!C42</f>
        <v>47012.622479999998</v>
      </c>
      <c r="D38" s="97">
        <f>'1.15'!D42</f>
        <v>6500</v>
      </c>
      <c r="E38" s="97">
        <f>'1.15'!E42</f>
        <v>13000</v>
      </c>
      <c r="F38" s="27"/>
    </row>
    <row r="39" spans="1:10" s="13" customFormat="1" x14ac:dyDescent="0.25">
      <c r="A39" s="6" t="s">
        <v>186</v>
      </c>
      <c r="B39" s="8" t="s">
        <v>182</v>
      </c>
      <c r="C39" s="95">
        <f>'1.15'!C15</f>
        <v>6952.2645599999996</v>
      </c>
      <c r="D39" s="95">
        <f>'1.15'!D15</f>
        <v>1400</v>
      </c>
      <c r="E39" s="95">
        <f>'1.15'!E15</f>
        <v>2800</v>
      </c>
      <c r="F39" s="27"/>
    </row>
    <row r="40" spans="1:10" s="13" customFormat="1" x14ac:dyDescent="0.25">
      <c r="A40" s="6" t="s">
        <v>191</v>
      </c>
      <c r="B40" s="8" t="s">
        <v>189</v>
      </c>
      <c r="C40" s="95">
        <f>'1.15'!C11</f>
        <v>194.43731611979189</v>
      </c>
      <c r="D40" s="95">
        <f>'1.15'!D11</f>
        <v>97.218658059895944</v>
      </c>
      <c r="E40" s="95">
        <f>'1.15'!E11</f>
        <v>127.92881885629431</v>
      </c>
      <c r="F40" s="27"/>
    </row>
    <row r="41" spans="1:10" s="13" customFormat="1" x14ac:dyDescent="0.25">
      <c r="A41" s="6" t="s">
        <v>192</v>
      </c>
      <c r="B41" s="8" t="s">
        <v>190</v>
      </c>
      <c r="C41" s="95">
        <f>'1.15'!C8</f>
        <v>105.93603677822097</v>
      </c>
      <c r="D41" s="95">
        <f>'1.15'!D8</f>
        <v>52.968018389110483</v>
      </c>
      <c r="E41" s="95">
        <f>'1.15'!E8</f>
        <v>69.699954359611056</v>
      </c>
      <c r="F41" s="27"/>
    </row>
    <row r="42" spans="1:10" s="13" customFormat="1" x14ac:dyDescent="0.25">
      <c r="A42" s="64" t="s">
        <v>317</v>
      </c>
      <c r="B42" s="74" t="s">
        <v>311</v>
      </c>
      <c r="C42" s="95">
        <f>'1.15'!C31</f>
        <v>32.336832000000001</v>
      </c>
      <c r="D42" s="96" t="s">
        <v>180</v>
      </c>
      <c r="E42" s="95">
        <f>'1.15'!E31</f>
        <v>32.498119369646091</v>
      </c>
      <c r="F42" s="27" t="s">
        <v>312</v>
      </c>
    </row>
    <row r="43" spans="1:10" x14ac:dyDescent="0.25">
      <c r="A43" s="6">
        <v>9</v>
      </c>
      <c r="B43" s="8" t="s">
        <v>154</v>
      </c>
      <c r="C43" s="151" t="s">
        <v>180</v>
      </c>
      <c r="D43" s="151"/>
      <c r="E43" s="151" t="s">
        <v>180</v>
      </c>
      <c r="F43" s="27"/>
      <c r="G43"/>
      <c r="H43"/>
      <c r="I43"/>
      <c r="J43"/>
    </row>
    <row r="44" spans="1:10" ht="25.5" x14ac:dyDescent="0.25">
      <c r="A44" s="6">
        <v>10</v>
      </c>
      <c r="B44" s="8" t="s">
        <v>169</v>
      </c>
      <c r="C44" s="151" t="s">
        <v>180</v>
      </c>
      <c r="D44" s="151"/>
      <c r="E44" s="151" t="s">
        <v>180</v>
      </c>
      <c r="F44" s="27"/>
      <c r="G44"/>
      <c r="H44"/>
      <c r="I44"/>
      <c r="J44"/>
    </row>
    <row r="45" spans="1:10" ht="30" x14ac:dyDescent="0.25">
      <c r="A45" s="7">
        <v>11</v>
      </c>
      <c r="B45" s="26" t="s">
        <v>155</v>
      </c>
      <c r="C45" s="97">
        <f>C9+C11+C12+C22+C23+C34</f>
        <v>86190.41522138755</v>
      </c>
      <c r="D45" s="97">
        <f>D9+D11+D12+D22+D23+D34</f>
        <v>17992.085946924766</v>
      </c>
      <c r="E45" s="97">
        <f>E9+E11+E12+E22+E23+E34</f>
        <v>36856.662709319207</v>
      </c>
      <c r="F45" s="190" t="s">
        <v>445</v>
      </c>
      <c r="G45"/>
      <c r="H45"/>
      <c r="I45"/>
      <c r="J45"/>
    </row>
    <row r="46" spans="1:10" x14ac:dyDescent="0.25">
      <c r="A46" s="6"/>
      <c r="B46" s="8" t="s">
        <v>151</v>
      </c>
      <c r="C46" s="152"/>
      <c r="D46" s="152"/>
      <c r="E46" s="152"/>
      <c r="F46" s="27"/>
      <c r="G46"/>
      <c r="H46"/>
      <c r="I46"/>
      <c r="J46"/>
    </row>
    <row r="47" spans="1:10" x14ac:dyDescent="0.25">
      <c r="A47" s="6"/>
      <c r="B47" s="9" t="s">
        <v>135</v>
      </c>
      <c r="C47" s="161">
        <f>C14</f>
        <v>48.326501976171002</v>
      </c>
      <c r="D47" s="161">
        <f>D14</f>
        <v>17.571986550383524</v>
      </c>
      <c r="E47" s="161">
        <f>E14</f>
        <v>35.143066784585343</v>
      </c>
      <c r="F47" s="162" t="s">
        <v>424</v>
      </c>
      <c r="G47"/>
      <c r="H47"/>
      <c r="I47"/>
      <c r="J47"/>
    </row>
    <row r="48" spans="1:10" x14ac:dyDescent="0.25">
      <c r="A48" s="6"/>
      <c r="B48" s="9" t="s">
        <v>136</v>
      </c>
      <c r="C48" s="161">
        <f t="shared" ref="C48:D50" si="2">C15</f>
        <v>0</v>
      </c>
      <c r="D48" s="161">
        <f t="shared" si="2"/>
        <v>0</v>
      </c>
      <c r="E48" s="161">
        <f t="shared" ref="E48:E50" si="3">E15</f>
        <v>0</v>
      </c>
      <c r="F48" s="162" t="s">
        <v>424</v>
      </c>
      <c r="G48"/>
      <c r="H48"/>
      <c r="I48"/>
      <c r="J48"/>
    </row>
    <row r="49" spans="1:10" x14ac:dyDescent="0.25">
      <c r="A49" s="6"/>
      <c r="B49" s="9" t="s">
        <v>137</v>
      </c>
      <c r="C49" s="161">
        <f t="shared" si="2"/>
        <v>0.32206514212957998</v>
      </c>
      <c r="D49" s="161">
        <f t="shared" si="2"/>
        <v>28.724433960281601</v>
      </c>
      <c r="E49" s="161">
        <f t="shared" si="3"/>
        <v>57.409112466397559</v>
      </c>
      <c r="F49" s="162" t="s">
        <v>424</v>
      </c>
      <c r="G49"/>
      <c r="H49"/>
      <c r="I49"/>
      <c r="J49"/>
    </row>
    <row r="50" spans="1:10" x14ac:dyDescent="0.25">
      <c r="A50" s="6"/>
      <c r="B50" s="9" t="s">
        <v>138</v>
      </c>
      <c r="C50" s="161">
        <f t="shared" si="2"/>
        <v>0</v>
      </c>
      <c r="D50" s="161">
        <f t="shared" si="2"/>
        <v>0.60378039298098141</v>
      </c>
      <c r="E50" s="161">
        <f t="shared" si="3"/>
        <v>1.207529644580265</v>
      </c>
      <c r="F50" s="162" t="s">
        <v>424</v>
      </c>
      <c r="G50"/>
      <c r="H50"/>
      <c r="I50"/>
      <c r="J50"/>
    </row>
    <row r="51" spans="1:10" x14ac:dyDescent="0.25">
      <c r="A51" s="6">
        <v>12</v>
      </c>
      <c r="B51" s="8" t="s">
        <v>156</v>
      </c>
      <c r="C51" s="98">
        <v>48.828788000000003</v>
      </c>
      <c r="D51" s="98">
        <v>14.474</v>
      </c>
      <c r="E51" s="98">
        <v>28.946999999999999</v>
      </c>
      <c r="F51" s="45"/>
      <c r="G51"/>
      <c r="H51"/>
      <c r="I51"/>
      <c r="J51"/>
    </row>
    <row r="52" spans="1:10" x14ac:dyDescent="0.25">
      <c r="A52" s="6">
        <v>13</v>
      </c>
      <c r="B52" s="8" t="s">
        <v>157</v>
      </c>
      <c r="C52" s="98">
        <f>C45*1000/(C51*1000)</f>
        <v>1765.1557360257959</v>
      </c>
      <c r="D52" s="98">
        <f>D45*1000/(D51*1000)</f>
        <v>1243.0624531521878</v>
      </c>
      <c r="E52" s="98">
        <f t="shared" ref="E52" si="4">E45*1000/(E51*1000)</f>
        <v>1273.2463712757524</v>
      </c>
      <c r="F52" s="27"/>
      <c r="G52"/>
      <c r="H52"/>
      <c r="I52"/>
      <c r="J52"/>
    </row>
    <row r="53" spans="1:10" x14ac:dyDescent="0.25">
      <c r="A53" s="6">
        <v>14</v>
      </c>
      <c r="B53" s="8" t="s">
        <v>158</v>
      </c>
      <c r="C53" s="95">
        <f>C38+C35+C23+C22+C20+C13</f>
        <v>65745.366834950313</v>
      </c>
      <c r="D53" s="95">
        <f>D38+D35+D23+D22+D20+D13</f>
        <v>12259.274605525146</v>
      </c>
      <c r="E53" s="95">
        <f>E38+E35+E23+E22+E20+E13</f>
        <v>25067.574048773033</v>
      </c>
      <c r="F53" s="27"/>
      <c r="G53"/>
      <c r="H53"/>
      <c r="I53"/>
      <c r="J53"/>
    </row>
    <row r="54" spans="1:10" x14ac:dyDescent="0.25">
      <c r="A54" s="6" t="s">
        <v>193</v>
      </c>
      <c r="B54" s="8" t="s">
        <v>159</v>
      </c>
      <c r="C54" s="95">
        <f t="shared" ref="C54:E54" si="5">C23</f>
        <v>11645.7947957245</v>
      </c>
      <c r="D54" s="95">
        <f t="shared" si="5"/>
        <v>3652.1820859555605</v>
      </c>
      <c r="E54" s="95">
        <f t="shared" si="5"/>
        <v>7662.2780163347652</v>
      </c>
      <c r="F54" s="27"/>
      <c r="G54"/>
      <c r="H54"/>
      <c r="I54"/>
      <c r="J54"/>
    </row>
    <row r="55" spans="1:10" ht="89.25" x14ac:dyDescent="0.25">
      <c r="A55" s="6">
        <v>15</v>
      </c>
      <c r="B55" s="8" t="s">
        <v>52</v>
      </c>
      <c r="C55" s="64" t="s">
        <v>180</v>
      </c>
      <c r="D55" s="108" t="s">
        <v>180</v>
      </c>
      <c r="E55" s="64" t="s">
        <v>180</v>
      </c>
      <c r="F55" s="27"/>
      <c r="G55"/>
      <c r="H55"/>
      <c r="I55"/>
      <c r="J55"/>
    </row>
    <row r="57" spans="1:10" x14ac:dyDescent="0.25">
      <c r="B57" s="22" t="s">
        <v>173</v>
      </c>
      <c r="C57" s="17"/>
      <c r="D57" s="145"/>
      <c r="F57" s="19" t="s">
        <v>174</v>
      </c>
      <c r="G57"/>
    </row>
    <row r="58" spans="1:10" x14ac:dyDescent="0.25">
      <c r="B58" s="23" t="s">
        <v>175</v>
      </c>
      <c r="C58" s="14" t="s">
        <v>177</v>
      </c>
      <c r="D58" s="14"/>
      <c r="F58" s="18" t="s">
        <v>176</v>
      </c>
      <c r="G58"/>
    </row>
    <row r="60" spans="1:10" x14ac:dyDescent="0.25">
      <c r="B60" s="13" t="s">
        <v>196</v>
      </c>
    </row>
    <row r="64" spans="1:10" x14ac:dyDescent="0.25">
      <c r="E64" s="35">
        <f>C45*1000</f>
        <v>86190415.22138755</v>
      </c>
      <c r="F64" s="35">
        <v>81441070.322009191</v>
      </c>
    </row>
    <row r="65" spans="5:8" x14ac:dyDescent="0.25">
      <c r="E65" s="35">
        <f>C51*1000</f>
        <v>48828.788</v>
      </c>
      <c r="F65" s="35">
        <v>47995000</v>
      </c>
    </row>
    <row r="66" spans="5:8" x14ac:dyDescent="0.25">
      <c r="E66" s="35">
        <f>E64/E65</f>
        <v>1765.1557360257959</v>
      </c>
      <c r="F66" s="35">
        <f>F64/F65</f>
        <v>1.6968657218878882</v>
      </c>
    </row>
    <row r="67" spans="5:8" x14ac:dyDescent="0.25">
      <c r="F67" s="30">
        <v>7172164.6186469989</v>
      </c>
      <c r="G67" s="30">
        <f>SUM(F67:F69)</f>
        <v>33964084.297646999</v>
      </c>
    </row>
    <row r="68" spans="5:8" x14ac:dyDescent="0.25">
      <c r="F68">
        <v>26661277.838999998</v>
      </c>
    </row>
    <row r="69" spans="5:8" x14ac:dyDescent="0.25">
      <c r="F69">
        <v>130641.84</v>
      </c>
      <c r="G69" s="13">
        <v>12125.277504908321</v>
      </c>
      <c r="H69" s="13">
        <f>G69/G67</f>
        <v>3.570029269344485E-4</v>
      </c>
    </row>
    <row r="70" spans="5:8" x14ac:dyDescent="0.25">
      <c r="F70">
        <v>8734165.8153539989</v>
      </c>
    </row>
    <row r="71" spans="5:8" x14ac:dyDescent="0.25">
      <c r="F71">
        <f>F70*H69</f>
        <v>3118.1227604121814</v>
      </c>
    </row>
  </sheetData>
  <mergeCells count="7">
    <mergeCell ref="A2:F2"/>
    <mergeCell ref="F5:F7"/>
    <mergeCell ref="A5:A7"/>
    <mergeCell ref="B5:B7"/>
    <mergeCell ref="C5:C6"/>
    <mergeCell ref="E5:E6"/>
    <mergeCell ref="D5:D6"/>
  </mergeCells>
  <printOptions horizontalCentered="1"/>
  <pageMargins left="0.70866141732283472" right="0.31496062992125984" top="0.35433070866141736" bottom="0.15748031496062992" header="0.31496062992125984" footer="0.31496062992125984"/>
  <pageSetup paperSize="9" scale="5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2:J27"/>
  <sheetViews>
    <sheetView view="pageBreakPreview" zoomScale="85" zoomScaleNormal="55" zoomScaleSheetLayoutView="85" workbookViewId="0">
      <selection activeCell="C31" sqref="C31"/>
    </sheetView>
  </sheetViews>
  <sheetFormatPr defaultRowHeight="15" x14ac:dyDescent="0.25"/>
  <cols>
    <col min="1" max="1" width="10.5703125" style="36" customWidth="1"/>
    <col min="2" max="2" width="45.28515625" style="76" customWidth="1"/>
    <col min="3" max="3" width="28.5703125" style="36" customWidth="1"/>
    <col min="4" max="4" width="24.140625" style="36" customWidth="1"/>
    <col min="5" max="5" width="25.5703125" style="36" customWidth="1"/>
    <col min="6" max="6" width="32.28515625" style="36" customWidth="1"/>
    <col min="7" max="7" width="19" style="36" customWidth="1"/>
    <col min="8" max="8" width="21.140625" style="36" customWidth="1"/>
    <col min="9" max="9" width="18.85546875" style="36" customWidth="1"/>
    <col min="10" max="10" width="15.42578125" style="36" customWidth="1"/>
    <col min="11" max="16384" width="9.140625" style="36"/>
  </cols>
  <sheetData>
    <row r="2" spans="1:10" ht="19.5" x14ac:dyDescent="0.3">
      <c r="A2" s="320" t="s">
        <v>451</v>
      </c>
      <c r="B2" s="320"/>
      <c r="C2" s="320"/>
      <c r="D2" s="320"/>
      <c r="E2" s="320"/>
      <c r="F2" s="320"/>
      <c r="G2" s="320"/>
    </row>
    <row r="4" spans="1:10" ht="78.75" x14ac:dyDescent="0.25">
      <c r="A4" s="174" t="s">
        <v>204</v>
      </c>
      <c r="B4" s="174" t="s">
        <v>205</v>
      </c>
      <c r="C4" s="174" t="s">
        <v>206</v>
      </c>
      <c r="D4" s="175" t="s">
        <v>207</v>
      </c>
      <c r="E4" s="175" t="s">
        <v>223</v>
      </c>
      <c r="F4" s="174" t="s">
        <v>229</v>
      </c>
      <c r="G4" s="174" t="s">
        <v>218</v>
      </c>
      <c r="H4" s="174" t="s">
        <v>230</v>
      </c>
    </row>
    <row r="5" spans="1:10" ht="45" x14ac:dyDescent="0.25">
      <c r="A5" s="176" t="s">
        <v>208</v>
      </c>
      <c r="B5" s="176" t="s">
        <v>209</v>
      </c>
      <c r="C5" s="177" t="s">
        <v>220</v>
      </c>
      <c r="D5" s="178" t="s">
        <v>210</v>
      </c>
      <c r="E5" s="179">
        <v>17</v>
      </c>
      <c r="F5" s="179">
        <f>E17</f>
        <v>1034.3057200000001</v>
      </c>
      <c r="G5" s="179">
        <f>E5*F5</f>
        <v>17583.197240000001</v>
      </c>
      <c r="H5" s="179">
        <f t="shared" ref="H5:H9" si="0">G5*$H$12/100</f>
        <v>4456.8077065075358</v>
      </c>
    </row>
    <row r="6" spans="1:10" ht="30" x14ac:dyDescent="0.25">
      <c r="A6" s="176" t="s">
        <v>208</v>
      </c>
      <c r="B6" s="176" t="s">
        <v>209</v>
      </c>
      <c r="C6" s="177" t="s">
        <v>220</v>
      </c>
      <c r="D6" s="180" t="s">
        <v>211</v>
      </c>
      <c r="E6" s="179">
        <v>3</v>
      </c>
      <c r="F6" s="179">
        <f>E17</f>
        <v>1034.3057200000001</v>
      </c>
      <c r="G6" s="179">
        <f t="shared" ref="G6:G10" si="1">E6*F6</f>
        <v>3102.91716</v>
      </c>
      <c r="H6" s="179">
        <f t="shared" si="0"/>
        <v>786.49547761897668</v>
      </c>
    </row>
    <row r="7" spans="1:10" x14ac:dyDescent="0.25">
      <c r="A7" s="176" t="s">
        <v>208</v>
      </c>
      <c r="B7" s="176" t="s">
        <v>219</v>
      </c>
      <c r="C7" s="181" t="s">
        <v>221</v>
      </c>
      <c r="D7" s="178" t="s">
        <v>212</v>
      </c>
      <c r="E7" s="179">
        <v>6</v>
      </c>
      <c r="F7" s="179">
        <f>E18</f>
        <v>1127.0231600000002</v>
      </c>
      <c r="G7" s="179">
        <f t="shared" si="1"/>
        <v>6762.1389600000011</v>
      </c>
      <c r="H7" s="179">
        <f t="shared" si="0"/>
        <v>1713.9973247210673</v>
      </c>
    </row>
    <row r="8" spans="1:10" ht="30" x14ac:dyDescent="0.25">
      <c r="A8" s="176" t="s">
        <v>208</v>
      </c>
      <c r="B8" s="176" t="s">
        <v>219</v>
      </c>
      <c r="C8" s="181" t="s">
        <v>221</v>
      </c>
      <c r="D8" s="180" t="s">
        <v>213</v>
      </c>
      <c r="E8" s="179">
        <v>6.5</v>
      </c>
      <c r="F8" s="179">
        <f>E18</f>
        <v>1127.0231600000002</v>
      </c>
      <c r="G8" s="179">
        <f t="shared" si="1"/>
        <v>7325.6505400000015</v>
      </c>
      <c r="H8" s="179">
        <f t="shared" si="0"/>
        <v>1856.8304351144895</v>
      </c>
    </row>
    <row r="9" spans="1:10" ht="60" x14ac:dyDescent="0.25">
      <c r="A9" s="176" t="s">
        <v>208</v>
      </c>
      <c r="B9" s="176" t="s">
        <v>214</v>
      </c>
      <c r="C9" s="177" t="s">
        <v>222</v>
      </c>
      <c r="D9" s="178" t="s">
        <v>215</v>
      </c>
      <c r="E9" s="179">
        <v>427.5</v>
      </c>
      <c r="F9" s="179">
        <f>E19</f>
        <v>855.41880000000003</v>
      </c>
      <c r="G9" s="179">
        <f t="shared" si="1"/>
        <v>365691.53700000001</v>
      </c>
      <c r="H9" s="179">
        <f t="shared" si="0"/>
        <v>92691.723698493035</v>
      </c>
    </row>
    <row r="10" spans="1:10" ht="45" x14ac:dyDescent="0.25">
      <c r="A10" s="182" t="s">
        <v>208</v>
      </c>
      <c r="B10" s="182" t="s">
        <v>216</v>
      </c>
      <c r="C10" s="183" t="s">
        <v>222</v>
      </c>
      <c r="D10" s="184" t="s">
        <v>217</v>
      </c>
      <c r="E10" s="179">
        <v>47.5</v>
      </c>
      <c r="F10" s="185">
        <f>E19</f>
        <v>855.41880000000003</v>
      </c>
      <c r="G10" s="185">
        <f t="shared" si="1"/>
        <v>40632.393000000004</v>
      </c>
      <c r="H10" s="179">
        <f>G10*$H$12/100</f>
        <v>10299.080410943672</v>
      </c>
    </row>
    <row r="11" spans="1:10" x14ac:dyDescent="0.25">
      <c r="A11" s="321" t="s">
        <v>199</v>
      </c>
      <c r="B11" s="321"/>
      <c r="C11" s="321"/>
      <c r="D11" s="321"/>
      <c r="E11" s="186">
        <f>SUM(E5:E10)</f>
        <v>507.5</v>
      </c>
      <c r="F11" s="187"/>
      <c r="G11" s="188">
        <f>SUM(G5:G10)</f>
        <v>441097.83390000003</v>
      </c>
      <c r="H11" s="188">
        <f>SUM(H5:H10)</f>
        <v>111804.93505339877</v>
      </c>
      <c r="J11" s="231"/>
    </row>
    <row r="12" spans="1:10" ht="33.75" customHeight="1" x14ac:dyDescent="0.25">
      <c r="F12" s="322" t="s">
        <v>231</v>
      </c>
      <c r="G12" s="323"/>
      <c r="H12" s="189">
        <f>H18</f>
        <v>25.346969869443011</v>
      </c>
    </row>
    <row r="13" spans="1:10" ht="15.75" thickBot="1" x14ac:dyDescent="0.3">
      <c r="G13" s="88"/>
    </row>
    <row r="14" spans="1:10" ht="20.25" thickBot="1" x14ac:dyDescent="0.35">
      <c r="B14" s="325" t="s">
        <v>452</v>
      </c>
      <c r="C14" s="325"/>
      <c r="D14" s="325"/>
      <c r="E14" s="325"/>
      <c r="F14" s="326" t="s">
        <v>320</v>
      </c>
      <c r="G14" s="327"/>
      <c r="H14" s="328"/>
    </row>
    <row r="15" spans="1:10" ht="57" customHeight="1" x14ac:dyDescent="0.25">
      <c r="B15" s="329" t="s">
        <v>206</v>
      </c>
      <c r="C15" s="331" t="s">
        <v>79</v>
      </c>
      <c r="D15" s="32" t="s">
        <v>442</v>
      </c>
      <c r="E15" s="32" t="s">
        <v>334</v>
      </c>
      <c r="F15" s="333"/>
      <c r="G15" s="333" t="s">
        <v>453</v>
      </c>
      <c r="H15" s="333" t="s">
        <v>441</v>
      </c>
    </row>
    <row r="16" spans="1:10" ht="19.5" thickBot="1" x14ac:dyDescent="0.3">
      <c r="B16" s="330"/>
      <c r="C16" s="332"/>
      <c r="D16" s="169" t="s">
        <v>224</v>
      </c>
      <c r="E16" s="169" t="s">
        <v>224</v>
      </c>
      <c r="F16" s="334"/>
      <c r="G16" s="334"/>
      <c r="H16" s="334"/>
    </row>
    <row r="17" spans="2:8" ht="75" x14ac:dyDescent="0.25">
      <c r="B17" s="89" t="s">
        <v>225</v>
      </c>
      <c r="C17" s="163" t="s">
        <v>226</v>
      </c>
      <c r="D17" s="232">
        <v>988.82</v>
      </c>
      <c r="E17" s="233">
        <f>D17*1.046</f>
        <v>1034.3057200000001</v>
      </c>
      <c r="F17" s="166" t="s">
        <v>323</v>
      </c>
      <c r="G17" s="234">
        <f>85256/2</f>
        <v>42628</v>
      </c>
      <c r="H17" s="235">
        <f>H19-H18</f>
        <v>74.653030130556985</v>
      </c>
    </row>
    <row r="18" spans="2:8" ht="75" x14ac:dyDescent="0.25">
      <c r="B18" s="90" t="s">
        <v>227</v>
      </c>
      <c r="C18" s="164" t="s">
        <v>226</v>
      </c>
      <c r="D18" s="236">
        <v>1077.46</v>
      </c>
      <c r="E18" s="237">
        <f>D18*1.046</f>
        <v>1127.0231600000002</v>
      </c>
      <c r="F18" s="167" t="s">
        <v>324</v>
      </c>
      <c r="G18" s="238">
        <f>28947/2</f>
        <v>14473.5</v>
      </c>
      <c r="H18" s="239">
        <f>H19/G19*G18</f>
        <v>25.346969869443011</v>
      </c>
    </row>
    <row r="19" spans="2:8" ht="38.25" thickBot="1" x14ac:dyDescent="0.3">
      <c r="B19" s="91" t="s">
        <v>228</v>
      </c>
      <c r="C19" s="165" t="s">
        <v>226</v>
      </c>
      <c r="D19" s="240">
        <v>817.8</v>
      </c>
      <c r="E19" s="241">
        <f>D19*1.046</f>
        <v>855.41880000000003</v>
      </c>
      <c r="F19" s="168" t="s">
        <v>325</v>
      </c>
      <c r="G19" s="242">
        <f>114203/2</f>
        <v>57101.5</v>
      </c>
      <c r="H19" s="239">
        <v>100</v>
      </c>
    </row>
    <row r="20" spans="2:8" ht="18.75" x14ac:dyDescent="0.25">
      <c r="B20" s="40"/>
      <c r="C20" s="41"/>
      <c r="D20" s="42"/>
      <c r="E20" s="42"/>
    </row>
    <row r="21" spans="2:8" ht="15.75" customHeight="1" x14ac:dyDescent="0.25">
      <c r="B21" s="324" t="s">
        <v>443</v>
      </c>
      <c r="C21" s="324"/>
      <c r="D21" s="324"/>
      <c r="E21" s="324"/>
      <c r="F21" s="324"/>
      <c r="G21" s="324"/>
      <c r="H21" s="324"/>
    </row>
    <row r="23" spans="2:8" ht="18.75" x14ac:dyDescent="0.3">
      <c r="B23" s="77" t="s">
        <v>232</v>
      </c>
      <c r="C23" s="78"/>
      <c r="D23" s="79"/>
      <c r="E23" s="78"/>
      <c r="F23" s="78" t="s">
        <v>233</v>
      </c>
    </row>
    <row r="24" spans="2:8" ht="18.75" x14ac:dyDescent="0.3">
      <c r="B24" s="80"/>
      <c r="C24" s="78"/>
      <c r="D24" s="81" t="s">
        <v>177</v>
      </c>
      <c r="E24" s="78"/>
    </row>
    <row r="26" spans="2:8" x14ac:dyDescent="0.25">
      <c r="B26" s="76" t="s">
        <v>234</v>
      </c>
    </row>
    <row r="27" spans="2:8" ht="33.75" customHeight="1" x14ac:dyDescent="0.25">
      <c r="B27" s="76" t="s">
        <v>235</v>
      </c>
    </row>
  </sheetData>
  <mergeCells count="11">
    <mergeCell ref="A2:G2"/>
    <mergeCell ref="A11:D11"/>
    <mergeCell ref="F12:G12"/>
    <mergeCell ref="B21:H21"/>
    <mergeCell ref="B14:E14"/>
    <mergeCell ref="F14:H14"/>
    <mergeCell ref="B15:B16"/>
    <mergeCell ref="C15:C16"/>
    <mergeCell ref="F15:F16"/>
    <mergeCell ref="G15:G16"/>
    <mergeCell ref="H15:H16"/>
  </mergeCells>
  <printOptions horizontalCentered="1"/>
  <pageMargins left="0.70866141732283472" right="0.31496062992125984" top="0.35433070866141736" bottom="0.35433070866141736" header="0.31496062992125984" footer="0.31496062992125984"/>
  <pageSetup paperSize="9" scale="43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J80"/>
  <sheetViews>
    <sheetView view="pageBreakPreview" topLeftCell="A19" zoomScale="55" zoomScaleNormal="55" zoomScaleSheetLayoutView="55" workbookViewId="0">
      <selection activeCell="C31" sqref="C31"/>
    </sheetView>
  </sheetViews>
  <sheetFormatPr defaultRowHeight="15" x14ac:dyDescent="0.25"/>
  <cols>
    <col min="1" max="1" width="10.5703125" style="36" customWidth="1"/>
    <col min="2" max="2" width="45.28515625" style="76" customWidth="1"/>
    <col min="3" max="3" width="28.5703125" style="36" customWidth="1"/>
    <col min="4" max="4" width="24.140625" style="36" customWidth="1"/>
    <col min="5" max="5" width="25.5703125" style="36" customWidth="1"/>
    <col min="6" max="6" width="32.28515625" style="36" customWidth="1"/>
    <col min="7" max="7" width="19" style="36" customWidth="1"/>
    <col min="8" max="8" width="21.140625" style="36" customWidth="1"/>
    <col min="9" max="9" width="18.85546875" customWidth="1"/>
    <col min="10" max="10" width="15.42578125" customWidth="1"/>
  </cols>
  <sheetData>
    <row r="1" spans="1:8" s="13" customFormat="1" ht="15.75" x14ac:dyDescent="0.25">
      <c r="A1" s="335" t="s">
        <v>329</v>
      </c>
      <c r="B1" s="335"/>
      <c r="C1" s="335"/>
      <c r="D1" s="335"/>
      <c r="E1" s="335"/>
      <c r="F1" s="36"/>
      <c r="G1" s="36"/>
      <c r="H1" s="36"/>
    </row>
    <row r="2" spans="1:8" s="13" customFormat="1" ht="16.5" thickBot="1" x14ac:dyDescent="0.3">
      <c r="A2" s="82"/>
      <c r="B2" s="82"/>
      <c r="C2" s="82"/>
      <c r="D2" s="82"/>
      <c r="E2" s="76"/>
      <c r="F2" s="36"/>
      <c r="G2" s="36"/>
      <c r="H2" s="36"/>
    </row>
    <row r="3" spans="1:8" s="13" customFormat="1" ht="53.25" customHeight="1" x14ac:dyDescent="0.25">
      <c r="A3" s="83" t="s">
        <v>200</v>
      </c>
      <c r="B3" s="31" t="s">
        <v>201</v>
      </c>
      <c r="C3" s="31" t="s">
        <v>202</v>
      </c>
      <c r="D3" s="243" t="s">
        <v>203</v>
      </c>
      <c r="E3" s="244" t="s">
        <v>198</v>
      </c>
      <c r="F3" s="36"/>
      <c r="G3" s="36"/>
      <c r="H3" s="36"/>
    </row>
    <row r="4" spans="1:8" s="13" customFormat="1" ht="15.75" x14ac:dyDescent="0.25">
      <c r="A4" s="84">
        <v>1</v>
      </c>
      <c r="B4" s="85" t="s">
        <v>425</v>
      </c>
      <c r="C4" s="245">
        <v>268705.61</v>
      </c>
      <c r="D4" s="246">
        <v>42369</v>
      </c>
      <c r="E4" s="247">
        <f t="shared" ref="E4:E16" si="0">C4*$E$20/100</f>
        <v>93994.297200440007</v>
      </c>
      <c r="F4" s="36"/>
      <c r="G4" s="36"/>
      <c r="H4" s="36"/>
    </row>
    <row r="5" spans="1:8" s="13" customFormat="1" ht="31.5" x14ac:dyDescent="0.25">
      <c r="A5" s="84">
        <v>2</v>
      </c>
      <c r="B5" s="85" t="s">
        <v>426</v>
      </c>
      <c r="C5" s="245">
        <v>13829.5</v>
      </c>
      <c r="D5" s="246">
        <v>42369</v>
      </c>
      <c r="E5" s="247">
        <f t="shared" si="0"/>
        <v>4837.6144180000001</v>
      </c>
      <c r="F5" s="36"/>
      <c r="G5" s="36"/>
      <c r="H5" s="36"/>
    </row>
    <row r="6" spans="1:8" s="13" customFormat="1" ht="15.75" x14ac:dyDescent="0.25">
      <c r="A6" s="84">
        <v>3</v>
      </c>
      <c r="B6" s="85" t="s">
        <v>427</v>
      </c>
      <c r="C6" s="245">
        <v>78582.8</v>
      </c>
      <c r="D6" s="246">
        <v>42369</v>
      </c>
      <c r="E6" s="247">
        <f t="shared" si="0"/>
        <v>27488.577771200002</v>
      </c>
      <c r="F6" s="36"/>
      <c r="G6" s="36"/>
      <c r="H6" s="36"/>
    </row>
    <row r="7" spans="1:8" s="13" customFormat="1" ht="15.75" x14ac:dyDescent="0.25">
      <c r="A7" s="84">
        <v>4</v>
      </c>
      <c r="B7" s="85" t="s">
        <v>428</v>
      </c>
      <c r="C7" s="245">
        <v>69728.399999999994</v>
      </c>
      <c r="D7" s="246">
        <v>42369</v>
      </c>
      <c r="E7" s="247">
        <f t="shared" si="0"/>
        <v>24391.273233599997</v>
      </c>
      <c r="F7" s="36"/>
      <c r="G7" s="36"/>
      <c r="H7" s="36"/>
    </row>
    <row r="8" spans="1:8" s="13" customFormat="1" ht="15.75" x14ac:dyDescent="0.25">
      <c r="A8" s="84">
        <v>5</v>
      </c>
      <c r="B8" s="85" t="s">
        <v>429</v>
      </c>
      <c r="C8" s="245">
        <v>13672.48</v>
      </c>
      <c r="D8" s="246">
        <v>42369</v>
      </c>
      <c r="E8" s="247">
        <f t="shared" si="0"/>
        <v>4782.6881939200002</v>
      </c>
      <c r="F8" s="36"/>
      <c r="G8" s="36"/>
      <c r="H8" s="36"/>
    </row>
    <row r="9" spans="1:8" s="13" customFormat="1" ht="15.75" x14ac:dyDescent="0.25">
      <c r="A9" s="84">
        <v>6</v>
      </c>
      <c r="B9" s="85" t="s">
        <v>430</v>
      </c>
      <c r="C9" s="245">
        <v>647523.96</v>
      </c>
      <c r="D9" s="246">
        <v>42369</v>
      </c>
      <c r="E9" s="247">
        <f t="shared" si="0"/>
        <v>226506.47130384002</v>
      </c>
      <c r="F9" s="36"/>
      <c r="G9" s="36"/>
      <c r="H9" s="36"/>
    </row>
    <row r="10" spans="1:8" s="13" customFormat="1" ht="31.5" x14ac:dyDescent="0.25">
      <c r="A10" s="84">
        <v>7</v>
      </c>
      <c r="B10" s="85" t="s">
        <v>431</v>
      </c>
      <c r="C10" s="245">
        <v>57922.38</v>
      </c>
      <c r="D10" s="246" t="s">
        <v>432</v>
      </c>
      <c r="E10" s="247">
        <f t="shared" si="0"/>
        <v>20261.480213520001</v>
      </c>
      <c r="F10" s="36"/>
      <c r="G10" s="36"/>
      <c r="H10" s="36"/>
    </row>
    <row r="11" spans="1:8" s="13" customFormat="1" ht="15.75" x14ac:dyDescent="0.25">
      <c r="A11" s="84">
        <v>8</v>
      </c>
      <c r="B11" s="85" t="s">
        <v>433</v>
      </c>
      <c r="C11" s="245">
        <v>93209.38</v>
      </c>
      <c r="D11" s="246">
        <v>42674</v>
      </c>
      <c r="E11" s="247">
        <f t="shared" si="0"/>
        <v>32605.013961520002</v>
      </c>
      <c r="F11" s="36"/>
      <c r="G11" s="36"/>
      <c r="H11" s="36"/>
    </row>
    <row r="12" spans="1:8" s="13" customFormat="1" ht="31.5" x14ac:dyDescent="0.25">
      <c r="A12" s="84">
        <v>9</v>
      </c>
      <c r="B12" s="85" t="s">
        <v>434</v>
      </c>
      <c r="C12" s="245">
        <v>226920.91999999998</v>
      </c>
      <c r="D12" s="246">
        <v>42673</v>
      </c>
      <c r="E12" s="247">
        <f t="shared" si="0"/>
        <v>79377.845499679999</v>
      </c>
      <c r="F12" s="36"/>
      <c r="G12" s="36"/>
      <c r="H12" s="36"/>
    </row>
    <row r="13" spans="1:8" s="13" customFormat="1" ht="15.75" x14ac:dyDescent="0.25">
      <c r="A13" s="84">
        <v>10</v>
      </c>
      <c r="B13" s="85" t="s">
        <v>435</v>
      </c>
      <c r="C13" s="248">
        <v>12845.55</v>
      </c>
      <c r="D13" s="246">
        <v>42582</v>
      </c>
      <c r="E13" s="247">
        <f t="shared" si="0"/>
        <v>4493.4247722</v>
      </c>
      <c r="F13" s="36"/>
      <c r="G13" s="36"/>
      <c r="H13" s="36"/>
    </row>
    <row r="14" spans="1:8" s="13" customFormat="1" ht="31.5" x14ac:dyDescent="0.25">
      <c r="A14" s="84">
        <v>11</v>
      </c>
      <c r="B14" s="85" t="s">
        <v>436</v>
      </c>
      <c r="C14" s="245">
        <v>40223.870000000003</v>
      </c>
      <c r="D14" s="246">
        <v>42704</v>
      </c>
      <c r="E14" s="247">
        <f t="shared" si="0"/>
        <v>14070.470621480001</v>
      </c>
      <c r="F14" s="36"/>
      <c r="G14" s="36"/>
      <c r="H14" s="36"/>
    </row>
    <row r="15" spans="1:8" s="13" customFormat="1" ht="15.75" x14ac:dyDescent="0.25">
      <c r="A15" s="84">
        <v>12</v>
      </c>
      <c r="B15" s="85" t="s">
        <v>437</v>
      </c>
      <c r="C15" s="245">
        <v>58993.279999999999</v>
      </c>
      <c r="D15" s="246">
        <v>42674</v>
      </c>
      <c r="E15" s="247">
        <f t="shared" si="0"/>
        <v>20636.08531712</v>
      </c>
      <c r="F15" s="36"/>
      <c r="G15" s="36"/>
      <c r="H15" s="36"/>
    </row>
    <row r="16" spans="1:8" s="13" customFormat="1" ht="15.75" x14ac:dyDescent="0.25">
      <c r="A16" s="84">
        <v>13</v>
      </c>
      <c r="B16" s="85" t="s">
        <v>438</v>
      </c>
      <c r="C16" s="245">
        <v>171191.74</v>
      </c>
      <c r="D16" s="246">
        <v>42490</v>
      </c>
      <c r="E16" s="247">
        <f t="shared" si="0"/>
        <v>59883.555418960008</v>
      </c>
      <c r="F16" s="36"/>
      <c r="G16" s="36"/>
      <c r="H16" s="36"/>
    </row>
    <row r="17" spans="1:10" s="13" customFormat="1" ht="15.75" x14ac:dyDescent="0.25">
      <c r="A17" s="84"/>
      <c r="B17" s="85"/>
      <c r="C17" s="245"/>
      <c r="D17" s="246"/>
      <c r="E17" s="247"/>
      <c r="F17" s="36"/>
      <c r="G17" s="36"/>
      <c r="H17" s="36"/>
    </row>
    <row r="18" spans="1:10" s="13" customFormat="1" ht="15.75" x14ac:dyDescent="0.25">
      <c r="A18" s="159"/>
      <c r="B18" s="160" t="s">
        <v>439</v>
      </c>
      <c r="C18" s="249">
        <v>1753349.8699999999</v>
      </c>
      <c r="D18" s="250"/>
      <c r="E18" s="251">
        <f>C18*$E$20/100</f>
        <v>613328.79792548006</v>
      </c>
      <c r="F18" s="36"/>
      <c r="G18" s="36"/>
      <c r="H18" s="36"/>
    </row>
    <row r="19" spans="1:10" s="13" customFormat="1" ht="16.5" thickBot="1" x14ac:dyDescent="0.3">
      <c r="A19" s="86"/>
      <c r="B19" s="87"/>
      <c r="C19" s="252"/>
      <c r="D19" s="253"/>
      <c r="E19" s="254"/>
      <c r="F19" s="36"/>
      <c r="G19" s="36"/>
      <c r="H19" s="36"/>
    </row>
    <row r="20" spans="1:10" s="13" customFormat="1" ht="15.75" thickBot="1" x14ac:dyDescent="0.3">
      <c r="A20" s="36"/>
      <c r="B20" s="76"/>
      <c r="C20" s="336" t="s">
        <v>440</v>
      </c>
      <c r="D20" s="337"/>
      <c r="E20" s="255">
        <v>34.980400000000003</v>
      </c>
      <c r="F20" s="36"/>
      <c r="G20" s="36"/>
      <c r="H20" s="36"/>
    </row>
    <row r="21" spans="1:10" s="13" customFormat="1" x14ac:dyDescent="0.25">
      <c r="A21" s="36"/>
      <c r="B21" s="76"/>
      <c r="C21" s="36"/>
      <c r="D21" s="36"/>
      <c r="E21" s="36"/>
      <c r="F21" s="36"/>
      <c r="G21" s="36"/>
      <c r="H21" s="36"/>
    </row>
    <row r="22" spans="1:10" ht="19.5" x14ac:dyDescent="0.3">
      <c r="A22" s="320" t="s">
        <v>330</v>
      </c>
      <c r="B22" s="320"/>
      <c r="C22" s="320"/>
      <c r="D22" s="320"/>
      <c r="E22" s="320"/>
      <c r="F22" s="320"/>
      <c r="G22" s="320"/>
    </row>
    <row r="24" spans="1:10" ht="78.75" x14ac:dyDescent="0.25">
      <c r="A24" s="174" t="s">
        <v>204</v>
      </c>
      <c r="B24" s="174" t="s">
        <v>205</v>
      </c>
      <c r="C24" s="174" t="s">
        <v>206</v>
      </c>
      <c r="D24" s="175" t="s">
        <v>207</v>
      </c>
      <c r="E24" s="175" t="s">
        <v>223</v>
      </c>
      <c r="F24" s="174" t="s">
        <v>229</v>
      </c>
      <c r="G24" s="174" t="s">
        <v>218</v>
      </c>
      <c r="H24" s="174" t="s">
        <v>230</v>
      </c>
    </row>
    <row r="25" spans="1:10" ht="45" x14ac:dyDescent="0.25">
      <c r="A25" s="176" t="s">
        <v>208</v>
      </c>
      <c r="B25" s="176" t="s">
        <v>209</v>
      </c>
      <c r="C25" s="177" t="s">
        <v>220</v>
      </c>
      <c r="D25" s="178" t="s">
        <v>210</v>
      </c>
      <c r="E25" s="179">
        <v>34</v>
      </c>
      <c r="F25" s="179">
        <f>E37</f>
        <v>1082.9180888400001</v>
      </c>
      <c r="G25" s="179">
        <f>E25*F25</f>
        <v>36819.215020560005</v>
      </c>
      <c r="H25" s="179">
        <f t="shared" ref="H25:H29" si="1">G25*$H$32/100</f>
        <v>9332.5553374267802</v>
      </c>
    </row>
    <row r="26" spans="1:10" ht="30" x14ac:dyDescent="0.25">
      <c r="A26" s="176" t="s">
        <v>208</v>
      </c>
      <c r="B26" s="176" t="s">
        <v>209</v>
      </c>
      <c r="C26" s="177" t="s">
        <v>220</v>
      </c>
      <c r="D26" s="180" t="s">
        <v>211</v>
      </c>
      <c r="E26" s="179">
        <v>6</v>
      </c>
      <c r="F26" s="179">
        <f>E37</f>
        <v>1082.9180888400001</v>
      </c>
      <c r="G26" s="179">
        <f t="shared" ref="G26:G30" si="2">E26*F26</f>
        <v>6497.5085330400007</v>
      </c>
      <c r="H26" s="179">
        <f t="shared" si="1"/>
        <v>1646.9215301341378</v>
      </c>
    </row>
    <row r="27" spans="1:10" x14ac:dyDescent="0.25">
      <c r="A27" s="176" t="s">
        <v>208</v>
      </c>
      <c r="B27" s="176" t="s">
        <v>219</v>
      </c>
      <c r="C27" s="181" t="s">
        <v>221</v>
      </c>
      <c r="D27" s="178" t="s">
        <v>212</v>
      </c>
      <c r="E27" s="179">
        <v>12</v>
      </c>
      <c r="F27" s="179">
        <f>E38</f>
        <v>1179.9932485200002</v>
      </c>
      <c r="G27" s="179">
        <f t="shared" si="2"/>
        <v>14159.918982240002</v>
      </c>
      <c r="H27" s="179">
        <f t="shared" si="1"/>
        <v>3589.1103979659151</v>
      </c>
    </row>
    <row r="28" spans="1:10" ht="30" x14ac:dyDescent="0.25">
      <c r="A28" s="176" t="s">
        <v>208</v>
      </c>
      <c r="B28" s="176" t="s">
        <v>219</v>
      </c>
      <c r="C28" s="181" t="s">
        <v>221</v>
      </c>
      <c r="D28" s="180" t="s">
        <v>213</v>
      </c>
      <c r="E28" s="179">
        <v>13</v>
      </c>
      <c r="F28" s="179">
        <f>E38</f>
        <v>1179.9932485200002</v>
      </c>
      <c r="G28" s="179">
        <f t="shared" si="2"/>
        <v>15339.912230760003</v>
      </c>
      <c r="H28" s="179">
        <f t="shared" si="1"/>
        <v>3888.2029311297415</v>
      </c>
    </row>
    <row r="29" spans="1:10" ht="60" x14ac:dyDescent="0.25">
      <c r="A29" s="176" t="s">
        <v>208</v>
      </c>
      <c r="B29" s="176" t="s">
        <v>214</v>
      </c>
      <c r="C29" s="177" t="s">
        <v>222</v>
      </c>
      <c r="D29" s="178" t="s">
        <v>215</v>
      </c>
      <c r="E29" s="179">
        <v>855</v>
      </c>
      <c r="F29" s="179">
        <f>E39</f>
        <v>895.62348359999999</v>
      </c>
      <c r="G29" s="179">
        <f t="shared" si="2"/>
        <v>765758.07847800001</v>
      </c>
      <c r="H29" s="179">
        <f t="shared" si="1"/>
        <v>194096.46942464446</v>
      </c>
    </row>
    <row r="30" spans="1:10" ht="45" x14ac:dyDescent="0.25">
      <c r="A30" s="182" t="s">
        <v>208</v>
      </c>
      <c r="B30" s="182" t="s">
        <v>216</v>
      </c>
      <c r="C30" s="183" t="s">
        <v>222</v>
      </c>
      <c r="D30" s="184" t="s">
        <v>217</v>
      </c>
      <c r="E30" s="179">
        <v>95</v>
      </c>
      <c r="F30" s="185">
        <f>E39</f>
        <v>895.62348359999999</v>
      </c>
      <c r="G30" s="185">
        <f t="shared" si="2"/>
        <v>85084.230941999995</v>
      </c>
      <c r="H30" s="179">
        <f>G30*$H$32/100</f>
        <v>21566.274380516046</v>
      </c>
    </row>
    <row r="31" spans="1:10" x14ac:dyDescent="0.25">
      <c r="A31" s="321" t="s">
        <v>199</v>
      </c>
      <c r="B31" s="321"/>
      <c r="C31" s="321"/>
      <c r="D31" s="321"/>
      <c r="E31" s="186">
        <f>SUM(E25:E30)</f>
        <v>1015</v>
      </c>
      <c r="F31" s="187"/>
      <c r="G31" s="188">
        <f>SUM(G25:G30)</f>
        <v>923658.86418660008</v>
      </c>
      <c r="H31" s="188">
        <f>SUM(H25:H30)</f>
        <v>234119.53400181708</v>
      </c>
      <c r="J31" s="30"/>
    </row>
    <row r="32" spans="1:10" ht="33.75" customHeight="1" x14ac:dyDescent="0.25">
      <c r="F32" s="322" t="s">
        <v>231</v>
      </c>
      <c r="G32" s="323"/>
      <c r="H32" s="189">
        <f>H38</f>
        <v>25.346969869443011</v>
      </c>
    </row>
    <row r="33" spans="1:9" ht="15.75" thickBot="1" x14ac:dyDescent="0.3">
      <c r="G33" s="88"/>
    </row>
    <row r="34" spans="1:9" ht="20.25" thickBot="1" x14ac:dyDescent="0.35">
      <c r="B34" s="325" t="s">
        <v>331</v>
      </c>
      <c r="C34" s="325"/>
      <c r="D34" s="325"/>
      <c r="E34" s="325"/>
      <c r="F34" s="326" t="s">
        <v>320</v>
      </c>
      <c r="G34" s="327"/>
      <c r="H34" s="328"/>
    </row>
    <row r="35" spans="1:9" ht="57" customHeight="1" x14ac:dyDescent="0.25">
      <c r="B35" s="329" t="s">
        <v>206</v>
      </c>
      <c r="C35" s="331" t="s">
        <v>79</v>
      </c>
      <c r="D35" s="32" t="s">
        <v>442</v>
      </c>
      <c r="E35" s="32" t="s">
        <v>334</v>
      </c>
      <c r="F35" s="333"/>
      <c r="G35" s="333" t="s">
        <v>322</v>
      </c>
      <c r="H35" s="333" t="s">
        <v>441</v>
      </c>
      <c r="I35" s="13"/>
    </row>
    <row r="36" spans="1:9" ht="19.5" thickBot="1" x14ac:dyDescent="0.3">
      <c r="B36" s="330"/>
      <c r="C36" s="332"/>
      <c r="D36" s="169" t="s">
        <v>224</v>
      </c>
      <c r="E36" s="169" t="s">
        <v>224</v>
      </c>
      <c r="F36" s="334"/>
      <c r="G36" s="334"/>
      <c r="H36" s="334"/>
    </row>
    <row r="37" spans="1:9" ht="75" x14ac:dyDescent="0.25">
      <c r="B37" s="89" t="s">
        <v>225</v>
      </c>
      <c r="C37" s="163" t="s">
        <v>226</v>
      </c>
      <c r="D37" s="232">
        <v>988.82</v>
      </c>
      <c r="E37" s="233">
        <f>D37*1.046*1.047</f>
        <v>1082.9180888400001</v>
      </c>
      <c r="F37" s="166" t="s">
        <v>323</v>
      </c>
      <c r="G37" s="170">
        <v>85256</v>
      </c>
      <c r="H37" s="192">
        <f>H39-H38</f>
        <v>74.653030130556985</v>
      </c>
    </row>
    <row r="38" spans="1:9" ht="75" x14ac:dyDescent="0.25">
      <c r="B38" s="90" t="s">
        <v>227</v>
      </c>
      <c r="C38" s="164" t="s">
        <v>226</v>
      </c>
      <c r="D38" s="236">
        <v>1077.46</v>
      </c>
      <c r="E38" s="237">
        <f t="shared" ref="E38:E39" si="3">D38*1.046*1.047</f>
        <v>1179.9932485200002</v>
      </c>
      <c r="F38" s="167" t="s">
        <v>324</v>
      </c>
      <c r="G38" s="171">
        <v>28947</v>
      </c>
      <c r="H38" s="172">
        <f>H39/G39*G38</f>
        <v>25.346969869443011</v>
      </c>
    </row>
    <row r="39" spans="1:9" ht="38.25" thickBot="1" x14ac:dyDescent="0.3">
      <c r="B39" s="91" t="s">
        <v>228</v>
      </c>
      <c r="C39" s="165" t="s">
        <v>226</v>
      </c>
      <c r="D39" s="240">
        <v>817.8</v>
      </c>
      <c r="E39" s="241">
        <f t="shared" si="3"/>
        <v>895.62348359999999</v>
      </c>
      <c r="F39" s="168" t="s">
        <v>325</v>
      </c>
      <c r="G39" s="173">
        <v>114203</v>
      </c>
      <c r="H39" s="172">
        <v>100</v>
      </c>
    </row>
    <row r="40" spans="1:9" ht="18.75" x14ac:dyDescent="0.25">
      <c r="B40" s="40"/>
      <c r="C40" s="41"/>
      <c r="D40" s="42"/>
      <c r="E40" s="42"/>
      <c r="H40"/>
    </row>
    <row r="41" spans="1:9" ht="15.75" customHeight="1" x14ac:dyDescent="0.25">
      <c r="B41" s="324" t="s">
        <v>443</v>
      </c>
      <c r="C41" s="324"/>
      <c r="D41" s="324"/>
      <c r="E41" s="324"/>
      <c r="F41" s="324"/>
      <c r="G41" s="324"/>
      <c r="H41" s="324"/>
    </row>
    <row r="42" spans="1:9" x14ac:dyDescent="0.25">
      <c r="H42"/>
    </row>
    <row r="43" spans="1:9" ht="18.75" x14ac:dyDescent="0.3">
      <c r="B43" s="77" t="s">
        <v>232</v>
      </c>
      <c r="C43" s="78"/>
      <c r="D43" s="79"/>
      <c r="E43" s="78"/>
      <c r="F43" s="78" t="s">
        <v>233</v>
      </c>
      <c r="H43"/>
    </row>
    <row r="44" spans="1:9" ht="18.75" x14ac:dyDescent="0.3">
      <c r="B44" s="80"/>
      <c r="C44" s="78"/>
      <c r="D44" s="81" t="s">
        <v>177</v>
      </c>
      <c r="E44" s="78"/>
      <c r="H44"/>
    </row>
    <row r="45" spans="1:9" x14ac:dyDescent="0.25">
      <c r="H45"/>
    </row>
    <row r="46" spans="1:9" s="13" customFormat="1" x14ac:dyDescent="0.25">
      <c r="A46" s="36"/>
      <c r="B46" s="76" t="s">
        <v>234</v>
      </c>
      <c r="C46" s="36"/>
      <c r="D46" s="36"/>
      <c r="E46" s="36"/>
      <c r="F46" s="36"/>
      <c r="G46" s="36"/>
      <c r="H46" s="36"/>
    </row>
    <row r="47" spans="1:9" ht="33.75" customHeight="1" x14ac:dyDescent="0.25">
      <c r="B47" s="76" t="s">
        <v>235</v>
      </c>
      <c r="E47"/>
      <c r="F47"/>
    </row>
    <row r="48" spans="1:9" x14ac:dyDescent="0.25">
      <c r="E48"/>
    </row>
    <row r="49" spans="5:8" x14ac:dyDescent="0.25">
      <c r="E49"/>
      <c r="F49"/>
      <c r="G49"/>
      <c r="H49"/>
    </row>
    <row r="50" spans="5:8" x14ac:dyDescent="0.25">
      <c r="E50"/>
      <c r="F50"/>
      <c r="G50"/>
      <c r="H50"/>
    </row>
    <row r="51" spans="5:8" x14ac:dyDescent="0.25">
      <c r="E51"/>
      <c r="F51"/>
      <c r="G51"/>
      <c r="H51"/>
    </row>
    <row r="52" spans="5:8" x14ac:dyDescent="0.25">
      <c r="E52"/>
      <c r="F52"/>
      <c r="G52"/>
      <c r="H52"/>
    </row>
    <row r="53" spans="5:8" x14ac:dyDescent="0.25">
      <c r="E53"/>
      <c r="F53"/>
      <c r="G53"/>
      <c r="H53"/>
    </row>
    <row r="54" spans="5:8" x14ac:dyDescent="0.25">
      <c r="E54"/>
      <c r="F54"/>
      <c r="G54"/>
      <c r="H54"/>
    </row>
    <row r="55" spans="5:8" x14ac:dyDescent="0.25">
      <c r="E55"/>
      <c r="F55"/>
      <c r="G55"/>
      <c r="H55"/>
    </row>
    <row r="56" spans="5:8" x14ac:dyDescent="0.25">
      <c r="E56"/>
      <c r="F56"/>
      <c r="G56"/>
      <c r="H56"/>
    </row>
    <row r="57" spans="5:8" x14ac:dyDescent="0.25">
      <c r="E57"/>
      <c r="F57"/>
      <c r="G57"/>
      <c r="H57"/>
    </row>
    <row r="58" spans="5:8" x14ac:dyDescent="0.25">
      <c r="E58"/>
      <c r="F58"/>
      <c r="G58"/>
      <c r="H58"/>
    </row>
    <row r="59" spans="5:8" x14ac:dyDescent="0.25">
      <c r="E59"/>
      <c r="F59"/>
      <c r="G59"/>
      <c r="H59"/>
    </row>
    <row r="60" spans="5:8" x14ac:dyDescent="0.25">
      <c r="E60"/>
      <c r="F60"/>
      <c r="G60"/>
      <c r="H60"/>
    </row>
    <row r="61" spans="5:8" x14ac:dyDescent="0.25">
      <c r="E61"/>
      <c r="F61"/>
      <c r="G61"/>
      <c r="H61"/>
    </row>
    <row r="62" spans="5:8" x14ac:dyDescent="0.25">
      <c r="E62"/>
      <c r="F62"/>
      <c r="G62"/>
      <c r="H62"/>
    </row>
    <row r="63" spans="5:8" x14ac:dyDescent="0.25">
      <c r="E63"/>
      <c r="F63"/>
      <c r="G63"/>
      <c r="H63"/>
    </row>
    <row r="64" spans="5:8" x14ac:dyDescent="0.25">
      <c r="E64"/>
      <c r="F64"/>
      <c r="G64"/>
      <c r="H64"/>
    </row>
    <row r="65" spans="5:8" x14ac:dyDescent="0.25">
      <c r="E65"/>
      <c r="F65"/>
      <c r="G65"/>
      <c r="H65"/>
    </row>
    <row r="66" spans="5:8" x14ac:dyDescent="0.25">
      <c r="E66"/>
      <c r="F66"/>
      <c r="G66"/>
      <c r="H66"/>
    </row>
    <row r="67" spans="5:8" x14ac:dyDescent="0.25">
      <c r="E67"/>
      <c r="F67"/>
      <c r="G67"/>
      <c r="H67"/>
    </row>
    <row r="68" spans="5:8" x14ac:dyDescent="0.25">
      <c r="E68"/>
      <c r="F68"/>
      <c r="G68"/>
      <c r="H68"/>
    </row>
    <row r="69" spans="5:8" x14ac:dyDescent="0.25">
      <c r="E69"/>
      <c r="F69"/>
      <c r="G69"/>
      <c r="H69"/>
    </row>
    <row r="70" spans="5:8" x14ac:dyDescent="0.25">
      <c r="E70"/>
      <c r="F70"/>
      <c r="G70"/>
      <c r="H70"/>
    </row>
    <row r="71" spans="5:8" x14ac:dyDescent="0.25">
      <c r="E71"/>
      <c r="F71"/>
      <c r="G71"/>
      <c r="H71"/>
    </row>
    <row r="72" spans="5:8" x14ac:dyDescent="0.25">
      <c r="E72"/>
      <c r="F72"/>
      <c r="G72"/>
      <c r="H72"/>
    </row>
    <row r="73" spans="5:8" x14ac:dyDescent="0.25">
      <c r="E73"/>
      <c r="F73"/>
      <c r="G73"/>
      <c r="H73"/>
    </row>
    <row r="74" spans="5:8" x14ac:dyDescent="0.25">
      <c r="E74"/>
      <c r="F74"/>
      <c r="G74"/>
      <c r="H74"/>
    </row>
    <row r="75" spans="5:8" x14ac:dyDescent="0.25">
      <c r="F75"/>
      <c r="G75"/>
      <c r="H75"/>
    </row>
    <row r="76" spans="5:8" x14ac:dyDescent="0.25">
      <c r="F76"/>
      <c r="G76"/>
      <c r="H76"/>
    </row>
    <row r="77" spans="5:8" x14ac:dyDescent="0.25">
      <c r="F77"/>
      <c r="G77"/>
      <c r="H77"/>
    </row>
    <row r="78" spans="5:8" x14ac:dyDescent="0.25">
      <c r="F78"/>
      <c r="G78"/>
      <c r="H78"/>
    </row>
    <row r="79" spans="5:8" x14ac:dyDescent="0.25">
      <c r="F79"/>
      <c r="G79"/>
      <c r="H79"/>
    </row>
    <row r="80" spans="5:8" x14ac:dyDescent="0.25">
      <c r="F80"/>
      <c r="G80"/>
      <c r="H80"/>
    </row>
  </sheetData>
  <mergeCells count="13">
    <mergeCell ref="A1:E1"/>
    <mergeCell ref="B35:B36"/>
    <mergeCell ref="C35:C36"/>
    <mergeCell ref="A22:G22"/>
    <mergeCell ref="A31:D31"/>
    <mergeCell ref="F32:G32"/>
    <mergeCell ref="C20:D20"/>
    <mergeCell ref="B34:E34"/>
    <mergeCell ref="B41:H41"/>
    <mergeCell ref="F34:H34"/>
    <mergeCell ref="F35:F36"/>
    <mergeCell ref="G35:G36"/>
    <mergeCell ref="H35:H36"/>
  </mergeCells>
  <printOptions horizontalCentered="1"/>
  <pageMargins left="0.70866141732283472" right="0.31496062992125984" top="0.35433070866141736" bottom="0.35433070866141736" header="0.31496062992125984" footer="0.31496062992125984"/>
  <pageSetup paperSize="9" scale="43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75"/>
  <sheetViews>
    <sheetView view="pageBreakPreview" zoomScale="70" zoomScaleNormal="85" zoomScaleSheetLayoutView="70" workbookViewId="0">
      <selection activeCell="C31" sqref="C31"/>
    </sheetView>
  </sheetViews>
  <sheetFormatPr defaultRowHeight="15" outlineLevelCol="1" x14ac:dyDescent="0.25"/>
  <cols>
    <col min="1" max="1" width="7.85546875" style="13" customWidth="1"/>
    <col min="2" max="2" width="14" style="13" customWidth="1"/>
    <col min="3" max="3" width="54.140625" style="13" customWidth="1"/>
    <col min="4" max="4" width="13.5703125" style="13" customWidth="1"/>
    <col min="5" max="5" width="14.42578125" style="13" customWidth="1"/>
    <col min="6" max="6" width="6.7109375" style="13" customWidth="1"/>
    <col min="7" max="7" width="14.42578125" style="13" customWidth="1"/>
    <col min="8" max="8" width="15.42578125" style="13" customWidth="1" outlineLevel="1"/>
    <col min="9" max="9" width="16.42578125" style="13" customWidth="1" outlineLevel="1"/>
    <col min="10" max="10" width="14.85546875" style="13" customWidth="1" outlineLevel="1"/>
    <col min="11" max="11" width="13" style="13" customWidth="1" outlineLevel="1"/>
    <col min="12" max="12" width="11.7109375" style="13" customWidth="1" outlineLevel="1"/>
    <col min="13" max="13" width="14" style="13" customWidth="1" outlineLevel="1"/>
    <col min="14" max="15" width="11.7109375" style="13" customWidth="1" outlineLevel="1"/>
    <col min="16" max="16" width="12.7109375" style="13" customWidth="1"/>
    <col min="17" max="17" width="18.7109375" style="13" customWidth="1"/>
    <col min="18" max="18" width="71.42578125" style="13" customWidth="1"/>
    <col min="19" max="19" width="21.85546875" style="13" customWidth="1"/>
    <col min="20" max="20" width="12.7109375" style="13" customWidth="1"/>
    <col min="21" max="16384" width="9.140625" style="13"/>
  </cols>
  <sheetData>
    <row r="1" spans="1:20" ht="18.75" x14ac:dyDescent="0.25">
      <c r="B1" s="338" t="s">
        <v>455</v>
      </c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153"/>
    </row>
    <row r="2" spans="1:20" ht="18" customHeight="1" x14ac:dyDescent="0.25">
      <c r="B2" s="154"/>
      <c r="C2" s="36"/>
      <c r="D2" s="36"/>
      <c r="E2" s="36"/>
      <c r="F2" s="36"/>
      <c r="G2" s="36"/>
      <c r="H2" s="256" t="s">
        <v>457</v>
      </c>
      <c r="I2" s="256" t="s">
        <v>458</v>
      </c>
      <c r="J2" s="36"/>
      <c r="K2" s="36"/>
      <c r="L2" s="36"/>
      <c r="M2" s="36"/>
      <c r="N2" s="36"/>
    </row>
    <row r="3" spans="1:20" ht="76.5" x14ac:dyDescent="0.25">
      <c r="A3" s="132" t="s">
        <v>400</v>
      </c>
      <c r="B3" s="46" t="s">
        <v>239</v>
      </c>
      <c r="C3" s="46" t="s">
        <v>240</v>
      </c>
      <c r="D3" s="257" t="s">
        <v>241</v>
      </c>
      <c r="E3" s="46" t="s">
        <v>242</v>
      </c>
      <c r="F3" s="46" t="s">
        <v>243</v>
      </c>
      <c r="G3" s="46" t="s">
        <v>244</v>
      </c>
      <c r="H3" s="46" t="s">
        <v>245</v>
      </c>
      <c r="I3" s="46" t="s">
        <v>246</v>
      </c>
      <c r="J3" s="46" t="s">
        <v>456</v>
      </c>
      <c r="K3" s="46" t="s">
        <v>247</v>
      </c>
      <c r="L3" s="46" t="s">
        <v>248</v>
      </c>
      <c r="M3" s="46" t="s">
        <v>398</v>
      </c>
      <c r="N3" s="46" t="s">
        <v>302</v>
      </c>
      <c r="O3" s="137"/>
    </row>
    <row r="4" spans="1:20" x14ac:dyDescent="0.25">
      <c r="B4" s="46">
        <v>1</v>
      </c>
      <c r="C4" s="46">
        <v>2</v>
      </c>
      <c r="D4" s="46">
        <v>3</v>
      </c>
      <c r="E4" s="46">
        <v>4</v>
      </c>
      <c r="F4" s="46">
        <v>5</v>
      </c>
      <c r="G4" s="46">
        <v>6</v>
      </c>
      <c r="H4" s="46">
        <v>7</v>
      </c>
      <c r="I4" s="46">
        <v>8</v>
      </c>
      <c r="J4" s="46">
        <v>9</v>
      </c>
      <c r="K4" s="46">
        <v>10</v>
      </c>
      <c r="L4" s="46">
        <v>11</v>
      </c>
      <c r="M4" s="46">
        <v>12</v>
      </c>
      <c r="N4" s="46"/>
      <c r="O4" s="137"/>
      <c r="Q4" s="13" t="s">
        <v>306</v>
      </c>
    </row>
    <row r="5" spans="1:20" ht="31.5" x14ac:dyDescent="0.25">
      <c r="A5" s="131" t="s">
        <v>418</v>
      </c>
      <c r="B5" s="258" t="s">
        <v>260</v>
      </c>
      <c r="C5" s="259" t="s">
        <v>261</v>
      </c>
      <c r="D5" s="260">
        <f>1721268</f>
        <v>1721268</v>
      </c>
      <c r="E5" s="261" t="s">
        <v>262</v>
      </c>
      <c r="F5" s="262">
        <v>706</v>
      </c>
      <c r="G5" s="263" t="s">
        <v>180</v>
      </c>
      <c r="H5" s="264">
        <f>957864-J5*K5</f>
        <v>943404</v>
      </c>
      <c r="I5" s="265">
        <f>D5-H5</f>
        <v>777864</v>
      </c>
      <c r="J5" s="264">
        <v>2410</v>
      </c>
      <c r="K5" s="266">
        <v>6</v>
      </c>
      <c r="L5" s="266" t="s">
        <v>180</v>
      </c>
      <c r="M5" s="264">
        <f>J5*K5</f>
        <v>14460</v>
      </c>
      <c r="N5" s="264">
        <f>I5-M5</f>
        <v>763404</v>
      </c>
      <c r="O5" s="138"/>
      <c r="Q5" s="58" t="s">
        <v>305</v>
      </c>
      <c r="R5" s="59" t="s">
        <v>303</v>
      </c>
      <c r="S5" s="60" t="s">
        <v>304</v>
      </c>
      <c r="T5" s="56"/>
    </row>
    <row r="6" spans="1:20" ht="21" x14ac:dyDescent="0.25">
      <c r="A6" s="131" t="s">
        <v>417</v>
      </c>
      <c r="B6" s="258" t="s">
        <v>392</v>
      </c>
      <c r="C6" s="267" t="s">
        <v>388</v>
      </c>
      <c r="D6" s="265">
        <v>2956241</v>
      </c>
      <c r="E6" s="261" t="s">
        <v>395</v>
      </c>
      <c r="F6" s="261">
        <v>1000</v>
      </c>
      <c r="G6" s="263" t="s">
        <v>180</v>
      </c>
      <c r="H6" s="268">
        <f>1877156-J6*K6</f>
        <v>1859420</v>
      </c>
      <c r="I6" s="265">
        <f t="shared" ref="I6:I43" si="0">D6-H6</f>
        <v>1096821</v>
      </c>
      <c r="J6" s="268">
        <v>2956</v>
      </c>
      <c r="K6" s="266">
        <v>6</v>
      </c>
      <c r="L6" s="264"/>
      <c r="M6" s="268">
        <f t="shared" ref="M6:M42" si="1">J6*K6</f>
        <v>17736</v>
      </c>
      <c r="N6" s="268">
        <f t="shared" ref="N6:N43" si="2">I6-M6</f>
        <v>1079085</v>
      </c>
      <c r="O6" s="139"/>
      <c r="Q6" s="58" t="s">
        <v>305</v>
      </c>
      <c r="R6" s="59" t="s">
        <v>303</v>
      </c>
      <c r="S6" s="60" t="s">
        <v>304</v>
      </c>
    </row>
    <row r="7" spans="1:20" ht="21" x14ac:dyDescent="0.25">
      <c r="A7" s="131" t="s">
        <v>419</v>
      </c>
      <c r="B7" s="258" t="s">
        <v>353</v>
      </c>
      <c r="C7" s="267" t="s">
        <v>336</v>
      </c>
      <c r="D7" s="265">
        <v>17484</v>
      </c>
      <c r="E7" s="261" t="s">
        <v>372</v>
      </c>
      <c r="F7" s="269">
        <v>600</v>
      </c>
      <c r="G7" s="263" t="s">
        <v>180</v>
      </c>
      <c r="H7" s="268">
        <f>16625-J7*K7</f>
        <v>16445</v>
      </c>
      <c r="I7" s="265">
        <f t="shared" si="0"/>
        <v>1039</v>
      </c>
      <c r="J7" s="268">
        <v>30</v>
      </c>
      <c r="K7" s="266">
        <v>6</v>
      </c>
      <c r="L7" s="264"/>
      <c r="M7" s="268">
        <f t="shared" si="1"/>
        <v>180</v>
      </c>
      <c r="N7" s="268">
        <f t="shared" si="2"/>
        <v>859</v>
      </c>
      <c r="O7" s="139"/>
      <c r="Q7" s="58" t="s">
        <v>305</v>
      </c>
      <c r="R7" s="59" t="s">
        <v>303</v>
      </c>
      <c r="S7" s="60" t="s">
        <v>304</v>
      </c>
    </row>
    <row r="8" spans="1:20" ht="31.5" x14ac:dyDescent="0.25">
      <c r="A8" s="131" t="s">
        <v>419</v>
      </c>
      <c r="B8" s="258" t="s">
        <v>354</v>
      </c>
      <c r="C8" s="267" t="s">
        <v>337</v>
      </c>
      <c r="D8" s="265">
        <v>46007</v>
      </c>
      <c r="E8" s="261" t="s">
        <v>372</v>
      </c>
      <c r="F8" s="269">
        <v>600</v>
      </c>
      <c r="G8" s="263" t="s">
        <v>180</v>
      </c>
      <c r="H8" s="268">
        <f>43591-J8*K8</f>
        <v>43123</v>
      </c>
      <c r="I8" s="265">
        <f t="shared" si="0"/>
        <v>2884</v>
      </c>
      <c r="J8" s="268">
        <v>78</v>
      </c>
      <c r="K8" s="266">
        <v>6</v>
      </c>
      <c r="L8" s="264"/>
      <c r="M8" s="268">
        <f t="shared" si="1"/>
        <v>468</v>
      </c>
      <c r="N8" s="268">
        <f t="shared" si="2"/>
        <v>2416</v>
      </c>
      <c r="O8" s="139"/>
      <c r="Q8" s="58" t="s">
        <v>305</v>
      </c>
      <c r="R8" s="59" t="s">
        <v>303</v>
      </c>
      <c r="S8" s="60" t="s">
        <v>304</v>
      </c>
    </row>
    <row r="9" spans="1:20" ht="15.75" customHeight="1" x14ac:dyDescent="0.25">
      <c r="A9" s="131" t="s">
        <v>417</v>
      </c>
      <c r="B9" s="258" t="s">
        <v>355</v>
      </c>
      <c r="C9" s="267" t="s">
        <v>338</v>
      </c>
      <c r="D9" s="265">
        <v>31241</v>
      </c>
      <c r="E9" s="261" t="s">
        <v>373</v>
      </c>
      <c r="F9" s="269">
        <v>600</v>
      </c>
      <c r="G9" s="263" t="s">
        <v>180</v>
      </c>
      <c r="H9" s="268">
        <f>21365-J9*K9</f>
        <v>21047</v>
      </c>
      <c r="I9" s="265">
        <f t="shared" si="0"/>
        <v>10194</v>
      </c>
      <c r="J9" s="268">
        <v>53</v>
      </c>
      <c r="K9" s="266">
        <v>6</v>
      </c>
      <c r="L9" s="264"/>
      <c r="M9" s="268">
        <f t="shared" si="1"/>
        <v>318</v>
      </c>
      <c r="N9" s="268">
        <f t="shared" si="2"/>
        <v>9876</v>
      </c>
      <c r="O9" s="139"/>
      <c r="Q9" s="58" t="s">
        <v>305</v>
      </c>
      <c r="R9" s="59" t="s">
        <v>303</v>
      </c>
      <c r="S9" s="60" t="s">
        <v>304</v>
      </c>
    </row>
    <row r="10" spans="1:20" ht="31.5" x14ac:dyDescent="0.25">
      <c r="A10" s="131" t="s">
        <v>417</v>
      </c>
      <c r="B10" s="258" t="s">
        <v>356</v>
      </c>
      <c r="C10" s="267" t="s">
        <v>339</v>
      </c>
      <c r="D10" s="265">
        <v>33774</v>
      </c>
      <c r="E10" s="270" t="s">
        <v>374</v>
      </c>
      <c r="F10" s="271">
        <v>600</v>
      </c>
      <c r="G10" s="263" t="s">
        <v>180</v>
      </c>
      <c r="H10" s="268">
        <f>29505-J10*K10</f>
        <v>29163</v>
      </c>
      <c r="I10" s="265">
        <f t="shared" si="0"/>
        <v>4611</v>
      </c>
      <c r="J10" s="268">
        <v>57</v>
      </c>
      <c r="K10" s="266">
        <v>6</v>
      </c>
      <c r="L10" s="264"/>
      <c r="M10" s="268">
        <f t="shared" si="1"/>
        <v>342</v>
      </c>
      <c r="N10" s="268">
        <f t="shared" si="2"/>
        <v>4269</v>
      </c>
      <c r="O10" s="139"/>
      <c r="Q10" s="58">
        <v>143120162</v>
      </c>
      <c r="R10" s="130" t="s">
        <v>416</v>
      </c>
    </row>
    <row r="11" spans="1:20" ht="15.75" x14ac:dyDescent="0.25">
      <c r="A11" s="131" t="s">
        <v>417</v>
      </c>
      <c r="B11" s="258" t="s">
        <v>357</v>
      </c>
      <c r="C11" s="267" t="s">
        <v>340</v>
      </c>
      <c r="D11" s="265">
        <v>43319</v>
      </c>
      <c r="E11" s="261" t="s">
        <v>375</v>
      </c>
      <c r="F11" s="269">
        <v>600</v>
      </c>
      <c r="G11" s="263" t="s">
        <v>180</v>
      </c>
      <c r="H11" s="268">
        <f>41782-J11*K11</f>
        <v>41338</v>
      </c>
      <c r="I11" s="265">
        <f t="shared" si="0"/>
        <v>1981</v>
      </c>
      <c r="J11" s="268">
        <v>74</v>
      </c>
      <c r="K11" s="266">
        <v>6</v>
      </c>
      <c r="L11" s="264"/>
      <c r="M11" s="268">
        <f t="shared" si="1"/>
        <v>444</v>
      </c>
      <c r="N11" s="268">
        <f t="shared" si="2"/>
        <v>1537</v>
      </c>
      <c r="O11" s="139"/>
    </row>
    <row r="12" spans="1:20" s="34" customFormat="1" ht="31.5" x14ac:dyDescent="0.25">
      <c r="A12" s="131" t="s">
        <v>417</v>
      </c>
      <c r="B12" s="269" t="s">
        <v>358</v>
      </c>
      <c r="C12" s="272" t="s">
        <v>341</v>
      </c>
      <c r="D12" s="273">
        <v>23016</v>
      </c>
      <c r="E12" s="261" t="s">
        <v>376</v>
      </c>
      <c r="F12" s="269">
        <v>600</v>
      </c>
      <c r="G12" s="263" t="s">
        <v>180</v>
      </c>
      <c r="H12" s="274">
        <f>22699-J12*K12</f>
        <v>22465</v>
      </c>
      <c r="I12" s="265">
        <f t="shared" si="0"/>
        <v>551</v>
      </c>
      <c r="J12" s="274">
        <v>39</v>
      </c>
      <c r="K12" s="266">
        <v>6</v>
      </c>
      <c r="L12" s="264"/>
      <c r="M12" s="274">
        <f t="shared" si="1"/>
        <v>234</v>
      </c>
      <c r="N12" s="274">
        <f t="shared" si="2"/>
        <v>317</v>
      </c>
      <c r="O12" s="140"/>
    </row>
    <row r="13" spans="1:20" ht="15.75" x14ac:dyDescent="0.25">
      <c r="A13" s="131" t="s">
        <v>417</v>
      </c>
      <c r="B13" s="258" t="s">
        <v>359</v>
      </c>
      <c r="C13" s="267" t="s">
        <v>342</v>
      </c>
      <c r="D13" s="265">
        <v>24112</v>
      </c>
      <c r="E13" s="261" t="s">
        <v>375</v>
      </c>
      <c r="F13" s="269">
        <v>600</v>
      </c>
      <c r="G13" s="263" t="s">
        <v>180</v>
      </c>
      <c r="H13" s="268">
        <f>23215-J13*K13</f>
        <v>22969</v>
      </c>
      <c r="I13" s="265">
        <f t="shared" si="0"/>
        <v>1143</v>
      </c>
      <c r="J13" s="268">
        <v>41</v>
      </c>
      <c r="K13" s="266">
        <v>6</v>
      </c>
      <c r="L13" s="264"/>
      <c r="M13" s="268">
        <f t="shared" si="1"/>
        <v>246</v>
      </c>
      <c r="N13" s="268">
        <f t="shared" si="2"/>
        <v>897</v>
      </c>
      <c r="O13" s="139"/>
    </row>
    <row r="14" spans="1:20" ht="31.5" x14ac:dyDescent="0.25">
      <c r="A14" s="131" t="s">
        <v>417</v>
      </c>
      <c r="B14" s="258" t="s">
        <v>361</v>
      </c>
      <c r="C14" s="267" t="s">
        <v>343</v>
      </c>
      <c r="D14" s="265">
        <v>792585</v>
      </c>
      <c r="E14" s="261" t="s">
        <v>377</v>
      </c>
      <c r="F14" s="269">
        <v>600</v>
      </c>
      <c r="G14" s="263" t="s">
        <v>180</v>
      </c>
      <c r="H14" s="268">
        <f>729424-J14*K14</f>
        <v>721342</v>
      </c>
      <c r="I14" s="265">
        <f t="shared" si="0"/>
        <v>71243</v>
      </c>
      <c r="J14" s="268">
        <v>1347</v>
      </c>
      <c r="K14" s="266">
        <v>6</v>
      </c>
      <c r="L14" s="264"/>
      <c r="M14" s="268">
        <f t="shared" si="1"/>
        <v>8082</v>
      </c>
      <c r="N14" s="268">
        <f t="shared" si="2"/>
        <v>63161</v>
      </c>
      <c r="O14" s="139"/>
    </row>
    <row r="15" spans="1:20" ht="31.5" x14ac:dyDescent="0.25">
      <c r="A15" s="131" t="s">
        <v>419</v>
      </c>
      <c r="B15" s="258" t="s">
        <v>362</v>
      </c>
      <c r="C15" s="267" t="s">
        <v>344</v>
      </c>
      <c r="D15" s="265">
        <v>68462</v>
      </c>
      <c r="E15" s="261" t="s">
        <v>378</v>
      </c>
      <c r="F15" s="269">
        <v>600</v>
      </c>
      <c r="G15" s="263" t="s">
        <v>180</v>
      </c>
      <c r="H15" s="268">
        <f>54897-J15*K15</f>
        <v>54201</v>
      </c>
      <c r="I15" s="265">
        <f t="shared" si="0"/>
        <v>14261</v>
      </c>
      <c r="J15" s="268">
        <v>116</v>
      </c>
      <c r="K15" s="266">
        <v>6</v>
      </c>
      <c r="L15" s="264"/>
      <c r="M15" s="268">
        <f t="shared" si="1"/>
        <v>696</v>
      </c>
      <c r="N15" s="268">
        <f t="shared" si="2"/>
        <v>13565</v>
      </c>
      <c r="O15" s="139"/>
    </row>
    <row r="16" spans="1:20" ht="15.75" x14ac:dyDescent="0.25">
      <c r="A16" s="131" t="s">
        <v>417</v>
      </c>
      <c r="B16" s="258" t="s">
        <v>363</v>
      </c>
      <c r="C16" s="267" t="s">
        <v>345</v>
      </c>
      <c r="D16" s="265">
        <v>144192</v>
      </c>
      <c r="E16" s="261" t="s">
        <v>379</v>
      </c>
      <c r="F16" s="269">
        <v>600</v>
      </c>
      <c r="G16" s="263" t="s">
        <v>180</v>
      </c>
      <c r="H16" s="268">
        <f>110227-J16*K16</f>
        <v>108757</v>
      </c>
      <c r="I16" s="265">
        <f t="shared" si="0"/>
        <v>35435</v>
      </c>
      <c r="J16" s="268">
        <v>245</v>
      </c>
      <c r="K16" s="266">
        <v>6</v>
      </c>
      <c r="L16" s="264"/>
      <c r="M16" s="268">
        <f t="shared" si="1"/>
        <v>1470</v>
      </c>
      <c r="N16" s="268">
        <f t="shared" si="2"/>
        <v>33965</v>
      </c>
      <c r="O16" s="139"/>
    </row>
    <row r="17" spans="1:20" ht="15.75" x14ac:dyDescent="0.25">
      <c r="A17" s="131" t="s">
        <v>417</v>
      </c>
      <c r="B17" s="258" t="s">
        <v>364</v>
      </c>
      <c r="C17" s="267" t="s">
        <v>346</v>
      </c>
      <c r="D17" s="265">
        <v>25287</v>
      </c>
      <c r="E17" s="261" t="s">
        <v>380</v>
      </c>
      <c r="F17" s="269">
        <v>600</v>
      </c>
      <c r="G17" s="263" t="s">
        <v>180</v>
      </c>
      <c r="H17" s="268">
        <f>19294-J17*K17</f>
        <v>19036</v>
      </c>
      <c r="I17" s="265">
        <f t="shared" si="0"/>
        <v>6251</v>
      </c>
      <c r="J17" s="268">
        <v>43</v>
      </c>
      <c r="K17" s="266">
        <v>6</v>
      </c>
      <c r="L17" s="264"/>
      <c r="M17" s="268">
        <f t="shared" si="1"/>
        <v>258</v>
      </c>
      <c r="N17" s="268">
        <f t="shared" si="2"/>
        <v>5993</v>
      </c>
      <c r="O17" s="139"/>
    </row>
    <row r="18" spans="1:20" ht="15.75" x14ac:dyDescent="0.25">
      <c r="A18" s="131" t="s">
        <v>417</v>
      </c>
      <c r="B18" s="258" t="s">
        <v>365</v>
      </c>
      <c r="C18" s="267" t="s">
        <v>347</v>
      </c>
      <c r="D18" s="265">
        <v>106338</v>
      </c>
      <c r="E18" s="261" t="s">
        <v>381</v>
      </c>
      <c r="F18" s="269">
        <v>600</v>
      </c>
      <c r="G18" s="263" t="s">
        <v>180</v>
      </c>
      <c r="H18" s="268">
        <f>76923-J18*K18</f>
        <v>75837</v>
      </c>
      <c r="I18" s="265">
        <f t="shared" si="0"/>
        <v>30501</v>
      </c>
      <c r="J18" s="268">
        <v>181</v>
      </c>
      <c r="K18" s="266">
        <v>6</v>
      </c>
      <c r="L18" s="264"/>
      <c r="M18" s="268">
        <f t="shared" si="1"/>
        <v>1086</v>
      </c>
      <c r="N18" s="268">
        <f t="shared" si="2"/>
        <v>29415</v>
      </c>
      <c r="O18" s="139"/>
    </row>
    <row r="19" spans="1:20" ht="31.5" x14ac:dyDescent="0.25">
      <c r="A19" s="131" t="s">
        <v>418</v>
      </c>
      <c r="B19" s="258" t="s">
        <v>263</v>
      </c>
      <c r="C19" s="259" t="s">
        <v>264</v>
      </c>
      <c r="D19" s="273">
        <f>4933942</f>
        <v>4933942</v>
      </c>
      <c r="E19" s="261" t="s">
        <v>262</v>
      </c>
      <c r="F19" s="269">
        <v>600</v>
      </c>
      <c r="G19" s="263" t="s">
        <v>180</v>
      </c>
      <c r="H19" s="264">
        <f>3279799-J19*K19</f>
        <v>3229471</v>
      </c>
      <c r="I19" s="265">
        <f t="shared" si="0"/>
        <v>1704471</v>
      </c>
      <c r="J19" s="264">
        <v>8388</v>
      </c>
      <c r="K19" s="266">
        <v>6</v>
      </c>
      <c r="L19" s="266" t="s">
        <v>180</v>
      </c>
      <c r="M19" s="264">
        <f t="shared" si="1"/>
        <v>50328</v>
      </c>
      <c r="N19" s="264">
        <f t="shared" si="2"/>
        <v>1654143</v>
      </c>
      <c r="O19" s="138"/>
      <c r="R19" s="13" t="s">
        <v>271</v>
      </c>
      <c r="S19" s="13" t="s">
        <v>272</v>
      </c>
      <c r="T19" s="13" t="s">
        <v>273</v>
      </c>
    </row>
    <row r="20" spans="1:20" s="36" customFormat="1" ht="15.75" x14ac:dyDescent="0.25">
      <c r="A20" s="131" t="s">
        <v>417</v>
      </c>
      <c r="B20" s="258" t="s">
        <v>366</v>
      </c>
      <c r="C20" s="267" t="s">
        <v>348</v>
      </c>
      <c r="D20" s="265">
        <v>339932</v>
      </c>
      <c r="E20" s="261" t="s">
        <v>382</v>
      </c>
      <c r="F20" s="269">
        <v>600</v>
      </c>
      <c r="G20" s="263" t="s">
        <v>180</v>
      </c>
      <c r="H20" s="268">
        <f>219776-J20*K20</f>
        <v>216308</v>
      </c>
      <c r="I20" s="265">
        <f t="shared" si="0"/>
        <v>123624</v>
      </c>
      <c r="J20" s="268">
        <v>578</v>
      </c>
      <c r="K20" s="266">
        <v>6</v>
      </c>
      <c r="L20" s="264"/>
      <c r="M20" s="268">
        <f t="shared" si="1"/>
        <v>3468</v>
      </c>
      <c r="N20" s="268">
        <f t="shared" si="2"/>
        <v>120156</v>
      </c>
      <c r="O20" s="139"/>
      <c r="P20" s="47" t="s">
        <v>274</v>
      </c>
      <c r="Q20" s="48" t="s">
        <v>277</v>
      </c>
      <c r="R20" s="49">
        <v>5</v>
      </c>
      <c r="S20" s="50" t="s">
        <v>278</v>
      </c>
      <c r="T20" s="51" t="s">
        <v>279</v>
      </c>
    </row>
    <row r="21" spans="1:20" s="36" customFormat="1" ht="15.75" x14ac:dyDescent="0.25">
      <c r="A21" s="131" t="s">
        <v>417</v>
      </c>
      <c r="B21" s="258" t="s">
        <v>367</v>
      </c>
      <c r="C21" s="267" t="s">
        <v>349</v>
      </c>
      <c r="D21" s="265">
        <v>34154</v>
      </c>
      <c r="E21" s="261" t="s">
        <v>383</v>
      </c>
      <c r="F21" s="269">
        <v>600</v>
      </c>
      <c r="G21" s="263" t="s">
        <v>180</v>
      </c>
      <c r="H21" s="268">
        <f>22013-J21*K21</f>
        <v>21665</v>
      </c>
      <c r="I21" s="265">
        <f t="shared" si="0"/>
        <v>12489</v>
      </c>
      <c r="J21" s="268">
        <v>58</v>
      </c>
      <c r="K21" s="266">
        <v>6</v>
      </c>
      <c r="L21" s="264"/>
      <c r="M21" s="268">
        <f t="shared" si="1"/>
        <v>348</v>
      </c>
      <c r="N21" s="268">
        <f t="shared" si="2"/>
        <v>12141</v>
      </c>
      <c r="O21" s="139"/>
      <c r="P21" s="47" t="s">
        <v>280</v>
      </c>
      <c r="Q21" s="52" t="s">
        <v>283</v>
      </c>
      <c r="R21" s="49">
        <v>4</v>
      </c>
      <c r="S21" s="36" t="s">
        <v>284</v>
      </c>
      <c r="T21" s="51" t="s">
        <v>285</v>
      </c>
    </row>
    <row r="22" spans="1:20" s="36" customFormat="1" ht="31.5" x14ac:dyDescent="0.25">
      <c r="A22" s="131" t="s">
        <v>419</v>
      </c>
      <c r="B22" s="258" t="s">
        <v>368</v>
      </c>
      <c r="C22" s="267" t="s">
        <v>350</v>
      </c>
      <c r="D22" s="265">
        <v>63576</v>
      </c>
      <c r="E22" s="261" t="s">
        <v>384</v>
      </c>
      <c r="F22" s="269">
        <v>600</v>
      </c>
      <c r="G22" s="263" t="s">
        <v>180</v>
      </c>
      <c r="H22" s="268">
        <f>50086-J22*K22</f>
        <v>49438</v>
      </c>
      <c r="I22" s="265">
        <f t="shared" si="0"/>
        <v>14138</v>
      </c>
      <c r="J22" s="268">
        <v>108</v>
      </c>
      <c r="K22" s="266">
        <v>6</v>
      </c>
      <c r="L22" s="264"/>
      <c r="M22" s="268">
        <f t="shared" si="1"/>
        <v>648</v>
      </c>
      <c r="N22" s="268">
        <f t="shared" si="2"/>
        <v>13490</v>
      </c>
      <c r="O22" s="139"/>
      <c r="P22" s="47"/>
      <c r="Q22" s="124"/>
      <c r="R22" s="49"/>
      <c r="T22" s="51"/>
    </row>
    <row r="23" spans="1:20" s="36" customFormat="1" ht="15.75" x14ac:dyDescent="0.25">
      <c r="A23" s="131" t="s">
        <v>418</v>
      </c>
      <c r="B23" s="269" t="s">
        <v>249</v>
      </c>
      <c r="C23" s="272" t="s">
        <v>250</v>
      </c>
      <c r="D23" s="273">
        <f>14024</f>
        <v>14024</v>
      </c>
      <c r="E23" s="261" t="s">
        <v>251</v>
      </c>
      <c r="F23" s="258">
        <v>273</v>
      </c>
      <c r="G23" s="263" t="s">
        <v>180</v>
      </c>
      <c r="H23" s="264">
        <f>13003-J23*K23</f>
        <v>12691</v>
      </c>
      <c r="I23" s="265">
        <f t="shared" si="0"/>
        <v>1333</v>
      </c>
      <c r="J23" s="264">
        <v>52</v>
      </c>
      <c r="K23" s="266">
        <v>6</v>
      </c>
      <c r="L23" s="266" t="s">
        <v>180</v>
      </c>
      <c r="M23" s="264">
        <f t="shared" si="1"/>
        <v>312</v>
      </c>
      <c r="N23" s="264">
        <f t="shared" si="2"/>
        <v>1021</v>
      </c>
      <c r="O23" s="138"/>
      <c r="P23" s="47"/>
      <c r="Q23" s="124"/>
      <c r="R23" s="49"/>
      <c r="T23" s="51"/>
    </row>
    <row r="24" spans="1:20" s="36" customFormat="1" ht="15.75" x14ac:dyDescent="0.25">
      <c r="A24" s="131" t="s">
        <v>418</v>
      </c>
      <c r="B24" s="269" t="s">
        <v>252</v>
      </c>
      <c r="C24" s="272" t="s">
        <v>250</v>
      </c>
      <c r="D24" s="273">
        <f>14024</f>
        <v>14024</v>
      </c>
      <c r="E24" s="261" t="s">
        <v>251</v>
      </c>
      <c r="F24" s="258">
        <v>273</v>
      </c>
      <c r="G24" s="263" t="s">
        <v>180</v>
      </c>
      <c r="H24" s="264">
        <f>13003-J24*K24</f>
        <v>12691</v>
      </c>
      <c r="I24" s="265">
        <f t="shared" si="0"/>
        <v>1333</v>
      </c>
      <c r="J24" s="264">
        <v>52</v>
      </c>
      <c r="K24" s="266">
        <v>6</v>
      </c>
      <c r="L24" s="266" t="s">
        <v>180</v>
      </c>
      <c r="M24" s="264">
        <f t="shared" si="1"/>
        <v>312</v>
      </c>
      <c r="N24" s="264">
        <f t="shared" si="2"/>
        <v>1021</v>
      </c>
      <c r="O24" s="138"/>
      <c r="P24" s="47"/>
      <c r="Q24" s="124"/>
      <c r="R24" s="49"/>
      <c r="T24" s="51"/>
    </row>
    <row r="25" spans="1:20" s="36" customFormat="1" ht="15.75" x14ac:dyDescent="0.25">
      <c r="A25" s="131" t="s">
        <v>418</v>
      </c>
      <c r="B25" s="269" t="s">
        <v>253</v>
      </c>
      <c r="C25" s="272" t="s">
        <v>250</v>
      </c>
      <c r="D25" s="273">
        <f>14024</f>
        <v>14024</v>
      </c>
      <c r="E25" s="261" t="s">
        <v>251</v>
      </c>
      <c r="F25" s="258">
        <v>273</v>
      </c>
      <c r="G25" s="263" t="s">
        <v>180</v>
      </c>
      <c r="H25" s="264">
        <f>13003-J25*K25</f>
        <v>12691</v>
      </c>
      <c r="I25" s="265">
        <f t="shared" si="0"/>
        <v>1333</v>
      </c>
      <c r="J25" s="264">
        <v>52</v>
      </c>
      <c r="K25" s="266">
        <v>6</v>
      </c>
      <c r="L25" s="266" t="s">
        <v>180</v>
      </c>
      <c r="M25" s="264">
        <f t="shared" si="1"/>
        <v>312</v>
      </c>
      <c r="N25" s="264">
        <f t="shared" si="2"/>
        <v>1021</v>
      </c>
      <c r="O25" s="138"/>
      <c r="P25" s="47"/>
      <c r="Q25" s="124"/>
      <c r="R25" s="49"/>
      <c r="T25" s="51"/>
    </row>
    <row r="26" spans="1:20" s="36" customFormat="1" ht="15.75" x14ac:dyDescent="0.25">
      <c r="A26" s="131" t="s">
        <v>418</v>
      </c>
      <c r="B26" s="269" t="s">
        <v>254</v>
      </c>
      <c r="C26" s="272" t="s">
        <v>250</v>
      </c>
      <c r="D26" s="273">
        <f>14024</f>
        <v>14024</v>
      </c>
      <c r="E26" s="261" t="s">
        <v>251</v>
      </c>
      <c r="F26" s="258">
        <v>273</v>
      </c>
      <c r="G26" s="263" t="s">
        <v>180</v>
      </c>
      <c r="H26" s="264">
        <f>13003-J26*K26</f>
        <v>12691</v>
      </c>
      <c r="I26" s="265">
        <f t="shared" si="0"/>
        <v>1333</v>
      </c>
      <c r="J26" s="264">
        <v>52</v>
      </c>
      <c r="K26" s="266">
        <v>6</v>
      </c>
      <c r="L26" s="266" t="s">
        <v>180</v>
      </c>
      <c r="M26" s="264">
        <f t="shared" si="1"/>
        <v>312</v>
      </c>
      <c r="N26" s="264">
        <f t="shared" si="2"/>
        <v>1021</v>
      </c>
      <c r="O26" s="138"/>
      <c r="P26" s="47"/>
      <c r="Q26" s="124"/>
      <c r="R26" s="49"/>
      <c r="T26" s="51"/>
    </row>
    <row r="27" spans="1:20" s="36" customFormat="1" ht="15.75" x14ac:dyDescent="0.25">
      <c r="A27" s="131" t="s">
        <v>418</v>
      </c>
      <c r="B27" s="258" t="s">
        <v>255</v>
      </c>
      <c r="C27" s="259" t="s">
        <v>256</v>
      </c>
      <c r="D27" s="260">
        <f>37067</f>
        <v>37067</v>
      </c>
      <c r="E27" s="261" t="s">
        <v>251</v>
      </c>
      <c r="F27" s="258">
        <v>273</v>
      </c>
      <c r="G27" s="263" t="s">
        <v>180</v>
      </c>
      <c r="H27" s="264">
        <f>34463-J27*K27</f>
        <v>33641</v>
      </c>
      <c r="I27" s="265">
        <f t="shared" si="0"/>
        <v>3426</v>
      </c>
      <c r="J27" s="264">
        <v>137</v>
      </c>
      <c r="K27" s="266">
        <v>6</v>
      </c>
      <c r="L27" s="266" t="s">
        <v>180</v>
      </c>
      <c r="M27" s="264">
        <f t="shared" si="1"/>
        <v>822</v>
      </c>
      <c r="N27" s="264">
        <f t="shared" si="2"/>
        <v>2604</v>
      </c>
      <c r="O27" s="138"/>
      <c r="P27" s="47"/>
      <c r="Q27" s="124"/>
      <c r="R27" s="49"/>
      <c r="T27" s="51"/>
    </row>
    <row r="28" spans="1:20" s="36" customFormat="1" ht="15.75" x14ac:dyDescent="0.25">
      <c r="A28" s="131" t="s">
        <v>418</v>
      </c>
      <c r="B28" s="258" t="s">
        <v>257</v>
      </c>
      <c r="C28" s="259" t="s">
        <v>256</v>
      </c>
      <c r="D28" s="260">
        <f>37067</f>
        <v>37067</v>
      </c>
      <c r="E28" s="261" t="s">
        <v>251</v>
      </c>
      <c r="F28" s="258">
        <v>273</v>
      </c>
      <c r="G28" s="263" t="s">
        <v>180</v>
      </c>
      <c r="H28" s="264">
        <f>34463-J28*K28</f>
        <v>33641</v>
      </c>
      <c r="I28" s="265">
        <f t="shared" si="0"/>
        <v>3426</v>
      </c>
      <c r="J28" s="264">
        <v>137</v>
      </c>
      <c r="K28" s="266">
        <v>6</v>
      </c>
      <c r="L28" s="266" t="s">
        <v>180</v>
      </c>
      <c r="M28" s="264">
        <f t="shared" si="1"/>
        <v>822</v>
      </c>
      <c r="N28" s="264">
        <f t="shared" si="2"/>
        <v>2604</v>
      </c>
      <c r="O28" s="138"/>
      <c r="P28" s="47"/>
      <c r="Q28" s="124"/>
      <c r="R28" s="49"/>
      <c r="T28" s="51"/>
    </row>
    <row r="29" spans="1:20" s="36" customFormat="1" ht="15.75" x14ac:dyDescent="0.25">
      <c r="A29" s="131" t="s">
        <v>418</v>
      </c>
      <c r="B29" s="258" t="s">
        <v>258</v>
      </c>
      <c r="C29" s="259" t="s">
        <v>256</v>
      </c>
      <c r="D29" s="260">
        <f>37067</f>
        <v>37067</v>
      </c>
      <c r="E29" s="261" t="s">
        <v>251</v>
      </c>
      <c r="F29" s="258">
        <v>273</v>
      </c>
      <c r="G29" s="263" t="s">
        <v>180</v>
      </c>
      <c r="H29" s="264">
        <f>34463-J29*K29</f>
        <v>33641</v>
      </c>
      <c r="I29" s="265">
        <f t="shared" si="0"/>
        <v>3426</v>
      </c>
      <c r="J29" s="264">
        <v>137</v>
      </c>
      <c r="K29" s="266">
        <v>6</v>
      </c>
      <c r="L29" s="266" t="s">
        <v>180</v>
      </c>
      <c r="M29" s="264">
        <f t="shared" si="1"/>
        <v>822</v>
      </c>
      <c r="N29" s="264">
        <f t="shared" si="2"/>
        <v>2604</v>
      </c>
      <c r="O29" s="138"/>
      <c r="P29" s="47"/>
      <c r="Q29" s="124"/>
      <c r="R29" s="49"/>
      <c r="T29" s="51"/>
    </row>
    <row r="30" spans="1:20" s="36" customFormat="1" ht="15.75" x14ac:dyDescent="0.25">
      <c r="A30" s="131" t="s">
        <v>418</v>
      </c>
      <c r="B30" s="258" t="s">
        <v>259</v>
      </c>
      <c r="C30" s="259" t="s">
        <v>256</v>
      </c>
      <c r="D30" s="260">
        <f>37067</f>
        <v>37067</v>
      </c>
      <c r="E30" s="261" t="s">
        <v>251</v>
      </c>
      <c r="F30" s="258">
        <v>273</v>
      </c>
      <c r="G30" s="263" t="s">
        <v>180</v>
      </c>
      <c r="H30" s="264">
        <f>34463-J30*K30</f>
        <v>33641</v>
      </c>
      <c r="I30" s="265">
        <f t="shared" si="0"/>
        <v>3426</v>
      </c>
      <c r="J30" s="264">
        <v>137</v>
      </c>
      <c r="K30" s="266">
        <v>6</v>
      </c>
      <c r="L30" s="266" t="s">
        <v>180</v>
      </c>
      <c r="M30" s="264">
        <f t="shared" si="1"/>
        <v>822</v>
      </c>
      <c r="N30" s="264">
        <f t="shared" si="2"/>
        <v>2604</v>
      </c>
      <c r="O30" s="138"/>
      <c r="P30" s="47"/>
      <c r="Q30" s="124"/>
      <c r="R30" s="49"/>
      <c r="T30" s="51"/>
    </row>
    <row r="31" spans="1:20" s="36" customFormat="1" ht="31.5" x14ac:dyDescent="0.25">
      <c r="A31" s="131" t="s">
        <v>419</v>
      </c>
      <c r="B31" s="258" t="s">
        <v>370</v>
      </c>
      <c r="C31" s="267" t="s">
        <v>351</v>
      </c>
      <c r="D31" s="265">
        <v>15305</v>
      </c>
      <c r="E31" s="261" t="s">
        <v>384</v>
      </c>
      <c r="F31" s="269">
        <v>600</v>
      </c>
      <c r="G31" s="263" t="s">
        <v>180</v>
      </c>
      <c r="H31" s="268">
        <f>12083-J31*K31</f>
        <v>11927</v>
      </c>
      <c r="I31" s="265">
        <f t="shared" si="0"/>
        <v>3378</v>
      </c>
      <c r="J31" s="268">
        <v>26</v>
      </c>
      <c r="K31" s="266">
        <v>6</v>
      </c>
      <c r="L31" s="264"/>
      <c r="M31" s="268">
        <f t="shared" si="1"/>
        <v>156</v>
      </c>
      <c r="N31" s="268">
        <f t="shared" si="2"/>
        <v>3222</v>
      </c>
      <c r="O31" s="139"/>
      <c r="P31" s="47"/>
      <c r="Q31" s="124"/>
      <c r="R31" s="49"/>
      <c r="T31" s="51"/>
    </row>
    <row r="32" spans="1:20" s="36" customFormat="1" ht="15.75" x14ac:dyDescent="0.25">
      <c r="A32" s="131" t="s">
        <v>417</v>
      </c>
      <c r="B32" s="258" t="s">
        <v>265</v>
      </c>
      <c r="C32" s="259" t="s">
        <v>266</v>
      </c>
      <c r="D32" s="260">
        <v>33490</v>
      </c>
      <c r="E32" s="261" t="s">
        <v>267</v>
      </c>
      <c r="F32" s="261">
        <v>600</v>
      </c>
      <c r="G32" s="263" t="s">
        <v>180</v>
      </c>
      <c r="H32" s="264">
        <f>21059-J32*K32</f>
        <v>20717</v>
      </c>
      <c r="I32" s="265">
        <f t="shared" si="0"/>
        <v>12773</v>
      </c>
      <c r="J32" s="264">
        <v>57</v>
      </c>
      <c r="K32" s="266">
        <v>6</v>
      </c>
      <c r="L32" s="266" t="s">
        <v>180</v>
      </c>
      <c r="M32" s="264">
        <f t="shared" si="1"/>
        <v>342</v>
      </c>
      <c r="N32" s="264">
        <f t="shared" si="2"/>
        <v>12431</v>
      </c>
      <c r="O32" s="138"/>
      <c r="P32" s="47"/>
      <c r="Q32" s="124"/>
      <c r="R32" s="49"/>
      <c r="T32" s="51"/>
    </row>
    <row r="33" spans="1:20" s="36" customFormat="1" ht="15.75" x14ac:dyDescent="0.25">
      <c r="A33" s="131" t="s">
        <v>419</v>
      </c>
      <c r="B33" s="258" t="s">
        <v>371</v>
      </c>
      <c r="C33" s="267" t="s">
        <v>352</v>
      </c>
      <c r="D33" s="265">
        <v>22699</v>
      </c>
      <c r="E33" s="261" t="s">
        <v>385</v>
      </c>
      <c r="F33" s="269">
        <v>600</v>
      </c>
      <c r="G33" s="263" t="s">
        <v>180</v>
      </c>
      <c r="H33" s="268">
        <f>14493-J33*K33</f>
        <v>14259</v>
      </c>
      <c r="I33" s="265">
        <f t="shared" si="0"/>
        <v>8440</v>
      </c>
      <c r="J33" s="268">
        <v>39</v>
      </c>
      <c r="K33" s="266">
        <v>6</v>
      </c>
      <c r="L33" s="264"/>
      <c r="M33" s="268">
        <f t="shared" si="1"/>
        <v>234</v>
      </c>
      <c r="N33" s="268">
        <f t="shared" si="2"/>
        <v>8206</v>
      </c>
      <c r="O33" s="139"/>
      <c r="P33" s="47"/>
      <c r="Q33" s="124"/>
      <c r="R33" s="49"/>
      <c r="T33" s="51"/>
    </row>
    <row r="34" spans="1:20" s="36" customFormat="1" ht="31.5" x14ac:dyDescent="0.25">
      <c r="A34" s="131" t="s">
        <v>417</v>
      </c>
      <c r="B34" s="258" t="s">
        <v>268</v>
      </c>
      <c r="C34" s="259" t="s">
        <v>269</v>
      </c>
      <c r="D34" s="260">
        <v>11734</v>
      </c>
      <c r="E34" s="261" t="s">
        <v>270</v>
      </c>
      <c r="F34" s="261">
        <v>600</v>
      </c>
      <c r="G34" s="263" t="s">
        <v>180</v>
      </c>
      <c r="H34" s="264">
        <f>7323-J34*K34</f>
        <v>7203</v>
      </c>
      <c r="I34" s="265">
        <f t="shared" si="0"/>
        <v>4531</v>
      </c>
      <c r="J34" s="264">
        <v>20</v>
      </c>
      <c r="K34" s="266">
        <v>6</v>
      </c>
      <c r="L34" s="266" t="s">
        <v>180</v>
      </c>
      <c r="M34" s="264">
        <f t="shared" si="1"/>
        <v>120</v>
      </c>
      <c r="N34" s="264">
        <f t="shared" si="2"/>
        <v>4411</v>
      </c>
      <c r="O34" s="138"/>
      <c r="P34" s="47"/>
      <c r="Q34" s="124"/>
      <c r="R34" s="49"/>
      <c r="T34" s="51"/>
    </row>
    <row r="35" spans="1:20" s="36" customFormat="1" ht="15.75" x14ac:dyDescent="0.25">
      <c r="A35" s="131" t="s">
        <v>417</v>
      </c>
      <c r="B35" s="258" t="s">
        <v>391</v>
      </c>
      <c r="C35" s="267" t="s">
        <v>387</v>
      </c>
      <c r="D35" s="265">
        <v>717966</v>
      </c>
      <c r="E35" s="261" t="s">
        <v>394</v>
      </c>
      <c r="F35" s="261">
        <v>180</v>
      </c>
      <c r="G35" s="261" t="s">
        <v>180</v>
      </c>
      <c r="H35" s="268">
        <f>325757-J35*K35</f>
        <v>301631</v>
      </c>
      <c r="I35" s="265">
        <f t="shared" si="0"/>
        <v>416335</v>
      </c>
      <c r="J35" s="268">
        <v>4021</v>
      </c>
      <c r="K35" s="266">
        <v>6</v>
      </c>
      <c r="L35" s="266" t="s">
        <v>180</v>
      </c>
      <c r="M35" s="268">
        <f t="shared" si="1"/>
        <v>24126</v>
      </c>
      <c r="N35" s="268">
        <f t="shared" si="2"/>
        <v>392209</v>
      </c>
      <c r="O35" s="139"/>
      <c r="P35" s="47">
        <v>143120162</v>
      </c>
      <c r="Q35" s="124"/>
      <c r="R35" s="49"/>
      <c r="T35" s="51"/>
    </row>
    <row r="36" spans="1:20" s="36" customFormat="1" ht="15.75" x14ac:dyDescent="0.25">
      <c r="A36" s="131" t="s">
        <v>417</v>
      </c>
      <c r="B36" s="258" t="s">
        <v>390</v>
      </c>
      <c r="C36" s="267" t="s">
        <v>386</v>
      </c>
      <c r="D36" s="265">
        <v>1627956</v>
      </c>
      <c r="E36" s="261" t="s">
        <v>393</v>
      </c>
      <c r="F36" s="261">
        <v>180</v>
      </c>
      <c r="G36" s="261" t="s">
        <v>180</v>
      </c>
      <c r="H36" s="268">
        <f>656328-J36*K36</f>
        <v>601626</v>
      </c>
      <c r="I36" s="265">
        <f t="shared" si="0"/>
        <v>1026330</v>
      </c>
      <c r="J36" s="268">
        <v>9117</v>
      </c>
      <c r="K36" s="266">
        <v>6</v>
      </c>
      <c r="L36" s="266" t="s">
        <v>180</v>
      </c>
      <c r="M36" s="268">
        <f t="shared" si="1"/>
        <v>54702</v>
      </c>
      <c r="N36" s="268">
        <f t="shared" si="2"/>
        <v>971628</v>
      </c>
      <c r="O36" s="139"/>
      <c r="P36" s="47" t="s">
        <v>389</v>
      </c>
      <c r="Q36" s="124"/>
      <c r="R36" s="49"/>
      <c r="T36" s="51"/>
    </row>
    <row r="37" spans="1:20" s="36" customFormat="1" ht="15.75" x14ac:dyDescent="0.25">
      <c r="A37" s="131" t="s">
        <v>401</v>
      </c>
      <c r="B37" s="258" t="s">
        <v>274</v>
      </c>
      <c r="C37" s="267" t="s">
        <v>275</v>
      </c>
      <c r="D37" s="265">
        <f>98321</f>
        <v>98321</v>
      </c>
      <c r="E37" s="261" t="s">
        <v>276</v>
      </c>
      <c r="F37" s="269">
        <v>120</v>
      </c>
      <c r="G37" s="263">
        <f>10*12</f>
        <v>120</v>
      </c>
      <c r="H37" s="268">
        <f>52206-J37*K37</f>
        <v>47310</v>
      </c>
      <c r="I37" s="265">
        <f t="shared" si="0"/>
        <v>51011</v>
      </c>
      <c r="J37" s="268">
        <v>816</v>
      </c>
      <c r="K37" s="266">
        <v>6</v>
      </c>
      <c r="L37" s="264">
        <f t="shared" ref="L37:L43" si="3">D37/G37</f>
        <v>819.3416666666667</v>
      </c>
      <c r="M37" s="268">
        <f t="shared" si="1"/>
        <v>4896</v>
      </c>
      <c r="N37" s="268">
        <f t="shared" si="2"/>
        <v>46115</v>
      </c>
      <c r="O37" s="139"/>
      <c r="P37" s="47"/>
      <c r="Q37" s="124"/>
      <c r="R37" s="49"/>
      <c r="T37" s="51"/>
    </row>
    <row r="38" spans="1:20" s="36" customFormat="1" ht="15.75" x14ac:dyDescent="0.25">
      <c r="A38" s="131" t="s">
        <v>401</v>
      </c>
      <c r="B38" s="275" t="s">
        <v>297</v>
      </c>
      <c r="C38" s="276" t="s">
        <v>296</v>
      </c>
      <c r="D38" s="277">
        <v>91525</v>
      </c>
      <c r="E38" s="275" t="s">
        <v>293</v>
      </c>
      <c r="F38" s="278">
        <v>60</v>
      </c>
      <c r="G38" s="263">
        <f>5*12</f>
        <v>60</v>
      </c>
      <c r="H38" s="264">
        <f>39728-J38*K38</f>
        <v>30560</v>
      </c>
      <c r="I38" s="265">
        <f t="shared" si="0"/>
        <v>60965</v>
      </c>
      <c r="J38" s="264">
        <v>1528</v>
      </c>
      <c r="K38" s="266">
        <v>6</v>
      </c>
      <c r="L38" s="264">
        <f t="shared" si="3"/>
        <v>1525.4166666666667</v>
      </c>
      <c r="M38" s="264">
        <f t="shared" si="1"/>
        <v>9168</v>
      </c>
      <c r="N38" s="264">
        <f t="shared" si="2"/>
        <v>51797</v>
      </c>
      <c r="O38" s="138"/>
      <c r="P38" s="47"/>
      <c r="Q38" s="124"/>
      <c r="R38" s="49"/>
      <c r="T38" s="51"/>
    </row>
    <row r="39" spans="1:20" s="36" customFormat="1" ht="15.75" x14ac:dyDescent="0.25">
      <c r="A39" s="131" t="s">
        <v>401</v>
      </c>
      <c r="B39" s="275" t="s">
        <v>292</v>
      </c>
      <c r="C39" s="276" t="s">
        <v>291</v>
      </c>
      <c r="D39" s="277">
        <v>1029661</v>
      </c>
      <c r="E39" s="275" t="s">
        <v>293</v>
      </c>
      <c r="F39" s="278">
        <v>60</v>
      </c>
      <c r="G39" s="263">
        <f>5*12</f>
        <v>60</v>
      </c>
      <c r="H39" s="264">
        <f>447070-J39*K39</f>
        <v>343900</v>
      </c>
      <c r="I39" s="265">
        <f t="shared" si="0"/>
        <v>685761</v>
      </c>
      <c r="J39" s="264">
        <v>17195</v>
      </c>
      <c r="K39" s="266">
        <v>6</v>
      </c>
      <c r="L39" s="264">
        <f t="shared" si="3"/>
        <v>17161.016666666666</v>
      </c>
      <c r="M39" s="264">
        <f t="shared" si="1"/>
        <v>103170</v>
      </c>
      <c r="N39" s="264">
        <f t="shared" si="2"/>
        <v>582591</v>
      </c>
      <c r="O39" s="138"/>
      <c r="P39" s="47"/>
      <c r="Q39" s="124"/>
      <c r="R39" s="49"/>
      <c r="T39" s="51"/>
    </row>
    <row r="40" spans="1:20" s="36" customFormat="1" ht="15.75" x14ac:dyDescent="0.25">
      <c r="A40" s="131" t="s">
        <v>401</v>
      </c>
      <c r="B40" s="275" t="s">
        <v>299</v>
      </c>
      <c r="C40" s="276" t="s">
        <v>298</v>
      </c>
      <c r="D40" s="277">
        <v>133898</v>
      </c>
      <c r="E40" s="275" t="s">
        <v>293</v>
      </c>
      <c r="F40" s="278">
        <v>60</v>
      </c>
      <c r="G40" s="263">
        <f>5*12</f>
        <v>60</v>
      </c>
      <c r="H40" s="264">
        <f>58136-J40*K40</f>
        <v>44720</v>
      </c>
      <c r="I40" s="265">
        <f t="shared" si="0"/>
        <v>89178</v>
      </c>
      <c r="J40" s="264">
        <v>2236</v>
      </c>
      <c r="K40" s="266">
        <v>6</v>
      </c>
      <c r="L40" s="264">
        <f t="shared" si="3"/>
        <v>2231.6333333333332</v>
      </c>
      <c r="M40" s="264">
        <f t="shared" si="1"/>
        <v>13416</v>
      </c>
      <c r="N40" s="264">
        <f t="shared" si="2"/>
        <v>75762</v>
      </c>
      <c r="O40" s="138"/>
      <c r="P40" s="47"/>
      <c r="Q40" s="124"/>
      <c r="R40" s="49"/>
      <c r="T40" s="51"/>
    </row>
    <row r="41" spans="1:20" s="36" customFormat="1" ht="31.5" x14ac:dyDescent="0.25">
      <c r="A41" s="131" t="s">
        <v>401</v>
      </c>
      <c r="B41" s="275" t="s">
        <v>301</v>
      </c>
      <c r="C41" s="276" t="s">
        <v>300</v>
      </c>
      <c r="D41" s="277">
        <v>129251</v>
      </c>
      <c r="E41" s="275" t="s">
        <v>293</v>
      </c>
      <c r="F41" s="278">
        <v>60</v>
      </c>
      <c r="G41" s="263">
        <f>5*12</f>
        <v>60</v>
      </c>
      <c r="H41" s="264">
        <f>56108-J41*K41</f>
        <v>43160</v>
      </c>
      <c r="I41" s="265">
        <f t="shared" si="0"/>
        <v>86091</v>
      </c>
      <c r="J41" s="264">
        <v>2158</v>
      </c>
      <c r="K41" s="266">
        <v>6</v>
      </c>
      <c r="L41" s="264">
        <f t="shared" si="3"/>
        <v>2154.1833333333334</v>
      </c>
      <c r="M41" s="264">
        <f t="shared" si="1"/>
        <v>12948</v>
      </c>
      <c r="N41" s="264">
        <f t="shared" si="2"/>
        <v>73143</v>
      </c>
      <c r="O41" s="138"/>
      <c r="P41" s="47" t="s">
        <v>389</v>
      </c>
      <c r="Q41" s="124"/>
      <c r="R41" s="49"/>
      <c r="T41" s="51"/>
    </row>
    <row r="42" spans="1:20" s="36" customFormat="1" ht="15.75" x14ac:dyDescent="0.25">
      <c r="A42" s="131" t="s">
        <v>401</v>
      </c>
      <c r="B42" s="275" t="s">
        <v>295</v>
      </c>
      <c r="C42" s="276" t="s">
        <v>294</v>
      </c>
      <c r="D42" s="277">
        <v>217712</v>
      </c>
      <c r="E42" s="275" t="s">
        <v>293</v>
      </c>
      <c r="F42" s="278">
        <v>60</v>
      </c>
      <c r="G42" s="263">
        <f>5*12</f>
        <v>60</v>
      </c>
      <c r="H42" s="264">
        <f>94536-J42*K42</f>
        <v>72720</v>
      </c>
      <c r="I42" s="265">
        <f t="shared" si="0"/>
        <v>144992</v>
      </c>
      <c r="J42" s="264">
        <v>3636</v>
      </c>
      <c r="K42" s="266">
        <v>6</v>
      </c>
      <c r="L42" s="264">
        <f t="shared" si="3"/>
        <v>3628.5333333333333</v>
      </c>
      <c r="M42" s="264">
        <f t="shared" si="1"/>
        <v>21816</v>
      </c>
      <c r="N42" s="264">
        <f t="shared" si="2"/>
        <v>123176</v>
      </c>
      <c r="O42" s="138"/>
      <c r="P42" s="47" t="s">
        <v>389</v>
      </c>
      <c r="Q42" s="124"/>
      <c r="R42" s="49"/>
      <c r="T42" s="51"/>
    </row>
    <row r="43" spans="1:20" s="128" customFormat="1" ht="31.5" x14ac:dyDescent="0.25">
      <c r="A43" s="131" t="s">
        <v>401</v>
      </c>
      <c r="B43" s="275" t="s">
        <v>280</v>
      </c>
      <c r="C43" s="276" t="s">
        <v>281</v>
      </c>
      <c r="D43" s="277">
        <f>398284</f>
        <v>398284</v>
      </c>
      <c r="E43" s="275" t="s">
        <v>282</v>
      </c>
      <c r="F43" s="278">
        <v>84</v>
      </c>
      <c r="G43" s="263">
        <f>7*12</f>
        <v>84</v>
      </c>
      <c r="H43" s="264">
        <f>364796-J43*K43</f>
        <v>336356</v>
      </c>
      <c r="I43" s="265">
        <f t="shared" si="0"/>
        <v>61928</v>
      </c>
      <c r="J43" s="264">
        <v>4740</v>
      </c>
      <c r="K43" s="266">
        <v>6</v>
      </c>
      <c r="L43" s="264">
        <f t="shared" si="3"/>
        <v>4741.4761904761908</v>
      </c>
      <c r="M43" s="264">
        <f>J43*K43</f>
        <v>28440</v>
      </c>
      <c r="N43" s="264">
        <f t="shared" si="2"/>
        <v>33488</v>
      </c>
      <c r="O43" s="138"/>
      <c r="P43" s="125"/>
      <c r="Q43" s="126"/>
      <c r="R43" s="127">
        <f>33488/J43</f>
        <v>7.0649789029535865</v>
      </c>
      <c r="T43" s="129"/>
    </row>
    <row r="44" spans="1:20" ht="15.75" x14ac:dyDescent="0.25">
      <c r="B44" s="263"/>
      <c r="C44" s="279" t="s">
        <v>286</v>
      </c>
      <c r="D44" s="280">
        <f>SUM(D5:D43)</f>
        <v>16137096</v>
      </c>
      <c r="E44" s="281"/>
      <c r="F44" s="281"/>
      <c r="G44" s="281"/>
      <c r="H44" s="280">
        <f>SUM(H5:H43)</f>
        <v>9556846</v>
      </c>
      <c r="I44" s="282">
        <f>SUM(I5:I43)</f>
        <v>6580250</v>
      </c>
      <c r="J44" s="282">
        <f>SUM(J5:J43)</f>
        <v>63147</v>
      </c>
      <c r="K44" s="281"/>
      <c r="L44" s="281">
        <f>SUM(L5:L21)</f>
        <v>0</v>
      </c>
      <c r="M44" s="282">
        <f>SUM(M5:M43)</f>
        <v>378882</v>
      </c>
      <c r="N44" s="283"/>
      <c r="O44" s="131" t="s">
        <v>418</v>
      </c>
      <c r="P44" s="110">
        <f>SUMIFS(M5:M43,A5:A43,O44)</f>
        <v>69324</v>
      </c>
      <c r="Q44" s="118">
        <f>P44*$E$50/100</f>
        <v>17571.986550383524</v>
      </c>
    </row>
    <row r="45" spans="1:20" ht="15.75" x14ac:dyDescent="0.25">
      <c r="B45" s="339" t="s">
        <v>307</v>
      </c>
      <c r="C45" s="339"/>
      <c r="D45" s="284"/>
      <c r="E45" s="285"/>
      <c r="F45" s="285"/>
      <c r="G45" s="285"/>
      <c r="H45" s="286" t="s">
        <v>180</v>
      </c>
      <c r="I45" s="284">
        <f>I44*E50/100</f>
        <v>1667936.9987040735</v>
      </c>
      <c r="J45" s="284">
        <f>J44*E50/100</f>
        <v>16006.263843648208</v>
      </c>
      <c r="K45" s="285"/>
      <c r="L45" s="284">
        <f>L44*0.357</f>
        <v>0</v>
      </c>
      <c r="M45" s="284">
        <f>M44*E50/100</f>
        <v>96037.583061889265</v>
      </c>
      <c r="N45" s="287"/>
      <c r="O45" s="131" t="s">
        <v>417</v>
      </c>
      <c r="P45" s="110">
        <f>SUMIFS(M5:M43,A5:A43,O45)</f>
        <v>113322</v>
      </c>
      <c r="Q45" s="118">
        <f t="shared" ref="Q45:Q47" si="4">P45*$E$50/100</f>
        <v>28724.4339602816</v>
      </c>
    </row>
    <row r="46" spans="1:20" x14ac:dyDescent="0.25">
      <c r="B46" s="61"/>
      <c r="C46" s="61"/>
      <c r="D46" s="62"/>
      <c r="E46" s="63"/>
      <c r="F46" s="63"/>
      <c r="G46" s="63"/>
      <c r="H46" s="62"/>
      <c r="I46" s="62"/>
      <c r="J46" s="62"/>
      <c r="K46" s="63"/>
      <c r="L46" s="62"/>
      <c r="M46" s="57"/>
      <c r="N46" s="57"/>
      <c r="O46" s="131" t="s">
        <v>419</v>
      </c>
      <c r="P46" s="110">
        <f>SUMIFS(M5:M43,A5:A43,O46)</f>
        <v>2382</v>
      </c>
      <c r="Q46" s="118">
        <f t="shared" si="4"/>
        <v>603.78039298098145</v>
      </c>
    </row>
    <row r="47" spans="1:20" ht="15" customHeight="1" x14ac:dyDescent="0.25">
      <c r="B47" s="308" t="s">
        <v>320</v>
      </c>
      <c r="C47" s="308"/>
      <c r="D47" s="308"/>
      <c r="F47" s="63"/>
      <c r="G47" s="63"/>
      <c r="H47" s="340" t="s">
        <v>422</v>
      </c>
      <c r="I47" s="340"/>
      <c r="J47" s="340"/>
      <c r="K47" s="63"/>
      <c r="L47" s="62"/>
      <c r="M47" s="57"/>
      <c r="N47" s="57"/>
      <c r="O47" s="131" t="s">
        <v>401</v>
      </c>
      <c r="P47" s="110">
        <f>SUMIFS(M5:M43,A5:A43,O47)</f>
        <v>193854</v>
      </c>
      <c r="Q47" s="118">
        <f t="shared" si="4"/>
        <v>49137.382158243141</v>
      </c>
    </row>
    <row r="48" spans="1:20" ht="60" x14ac:dyDescent="0.25">
      <c r="B48" s="56"/>
      <c r="C48" s="9"/>
      <c r="D48" s="111" t="s">
        <v>454</v>
      </c>
      <c r="E48" s="111" t="s">
        <v>441</v>
      </c>
      <c r="F48" s="63"/>
      <c r="G48" s="62"/>
      <c r="H48" s="141"/>
      <c r="I48" s="142" t="s">
        <v>423</v>
      </c>
      <c r="J48" s="142" t="s">
        <v>459</v>
      </c>
      <c r="K48" s="62"/>
      <c r="L48" s="57"/>
      <c r="M48" s="57"/>
    </row>
    <row r="49" spans="2:15" ht="30" x14ac:dyDescent="0.25">
      <c r="B49" s="56">
        <v>1</v>
      </c>
      <c r="C49" s="109" t="s">
        <v>323</v>
      </c>
      <c r="D49" s="56">
        <v>42628</v>
      </c>
      <c r="E49" s="134">
        <f>E51-E50</f>
        <v>74.652376449161153</v>
      </c>
      <c r="F49" s="63"/>
      <c r="G49" s="62"/>
      <c r="H49" s="143" t="s">
        <v>418</v>
      </c>
      <c r="I49" s="110">
        <f>SUMIFS(M5:M43,A5:A43,O44)</f>
        <v>69324</v>
      </c>
      <c r="J49" s="118">
        <f>I49*$E$50/100</f>
        <v>17571.986550383524</v>
      </c>
      <c r="K49" s="62"/>
      <c r="L49" s="57"/>
      <c r="M49" s="57"/>
    </row>
    <row r="50" spans="2:15" ht="30" x14ac:dyDescent="0.25">
      <c r="B50" s="56">
        <v>2</v>
      </c>
      <c r="C50" s="109" t="s">
        <v>324</v>
      </c>
      <c r="D50" s="56">
        <v>14474</v>
      </c>
      <c r="E50" s="134">
        <f>E51/D51*D50</f>
        <v>25.347623550838851</v>
      </c>
      <c r="F50" s="63"/>
      <c r="G50" s="62"/>
      <c r="H50" s="143" t="s">
        <v>417</v>
      </c>
      <c r="I50" s="110">
        <f>SUMIFS(M5:M43,A5:A43,O45)</f>
        <v>113322</v>
      </c>
      <c r="J50" s="118">
        <f t="shared" ref="J50:J52" si="5">I50*$E$50/100</f>
        <v>28724.4339602816</v>
      </c>
      <c r="K50" s="62"/>
      <c r="L50" s="57"/>
      <c r="M50" s="57"/>
    </row>
    <row r="51" spans="2:15" x14ac:dyDescent="0.25">
      <c r="B51" s="56">
        <v>3</v>
      </c>
      <c r="C51" s="112" t="s">
        <v>325</v>
      </c>
      <c r="D51" s="135">
        <v>57102</v>
      </c>
      <c r="E51" s="133">
        <v>100</v>
      </c>
      <c r="F51" s="63"/>
      <c r="G51" s="62"/>
      <c r="H51" s="143" t="s">
        <v>419</v>
      </c>
      <c r="I51" s="110">
        <f>SUMIFS(M5:M43,A5:A43,O46)</f>
        <v>2382</v>
      </c>
      <c r="J51" s="118">
        <f t="shared" si="5"/>
        <v>603.78039298098145</v>
      </c>
      <c r="K51" s="62"/>
      <c r="L51" s="57"/>
      <c r="M51" s="57"/>
    </row>
    <row r="52" spans="2:15" x14ac:dyDescent="0.25">
      <c r="B52" s="61"/>
      <c r="C52" s="61"/>
      <c r="D52" s="62"/>
      <c r="E52" s="63"/>
      <c r="F52" s="63"/>
      <c r="G52" s="63"/>
      <c r="H52" s="143" t="s">
        <v>401</v>
      </c>
      <c r="I52" s="110">
        <f>SUMIFS(M5:M43,A5:A43,O47)</f>
        <v>193854</v>
      </c>
      <c r="J52" s="118">
        <f t="shared" si="5"/>
        <v>49137.382158243141</v>
      </c>
      <c r="K52" s="63"/>
      <c r="L52" s="62"/>
      <c r="M52" s="57"/>
      <c r="N52" s="57"/>
      <c r="O52" s="57"/>
    </row>
    <row r="53" spans="2:15" x14ac:dyDescent="0.25">
      <c r="B53" s="61"/>
      <c r="C53" s="61"/>
      <c r="D53" s="62"/>
      <c r="E53" s="63"/>
      <c r="F53" s="63"/>
      <c r="G53" s="63"/>
      <c r="H53" s="144"/>
      <c r="I53" s="145"/>
      <c r="J53" s="146"/>
      <c r="K53" s="63"/>
      <c r="L53" s="62"/>
      <c r="M53" s="57"/>
      <c r="N53" s="57"/>
      <c r="O53" s="57"/>
    </row>
    <row r="54" spans="2:15" x14ac:dyDescent="0.25">
      <c r="B54" s="53" t="s">
        <v>287</v>
      </c>
      <c r="H54" s="62"/>
      <c r="I54" s="62"/>
      <c r="J54" s="62"/>
    </row>
    <row r="56" spans="2:15" x14ac:dyDescent="0.25">
      <c r="C56" s="149" t="s">
        <v>173</v>
      </c>
      <c r="D56" s="20"/>
      <c r="E56" s="20"/>
      <c r="F56" s="17"/>
    </row>
    <row r="57" spans="2:15" x14ac:dyDescent="0.25">
      <c r="C57" s="150" t="s">
        <v>175</v>
      </c>
      <c r="D57" s="21"/>
      <c r="E57" s="21"/>
      <c r="F57" s="14" t="s">
        <v>177</v>
      </c>
      <c r="H57" s="19" t="s">
        <v>174</v>
      </c>
    </row>
    <row r="58" spans="2:15" x14ac:dyDescent="0.25">
      <c r="H58" s="18" t="s">
        <v>176</v>
      </c>
    </row>
    <row r="59" spans="2:15" x14ac:dyDescent="0.25">
      <c r="C59" s="13" t="s">
        <v>196</v>
      </c>
    </row>
    <row r="61" spans="2:15" x14ac:dyDescent="0.25">
      <c r="J61" s="35" t="e">
        <f>#REF!+J19</f>
        <v>#REF!</v>
      </c>
      <c r="L61" s="13">
        <f>J45*12</f>
        <v>192075.1661237785</v>
      </c>
    </row>
    <row r="62" spans="2:15" x14ac:dyDescent="0.25">
      <c r="J62" s="13" t="e">
        <f>J61*12</f>
        <v>#REF!</v>
      </c>
    </row>
    <row r="63" spans="2:15" x14ac:dyDescent="0.25">
      <c r="J63" s="13" t="e">
        <f>J62*0.357/1000</f>
        <v>#REF!</v>
      </c>
    </row>
    <row r="65" spans="2:13" x14ac:dyDescent="0.25">
      <c r="M65" s="13">
        <v>230333</v>
      </c>
    </row>
    <row r="66" spans="2:13" ht="15.75" x14ac:dyDescent="0.25">
      <c r="J66" s="35">
        <f>SUM(J10:J18)</f>
        <v>2143</v>
      </c>
      <c r="M66" s="120">
        <f>M65*0.357</f>
        <v>82228.880999999994</v>
      </c>
    </row>
    <row r="67" spans="2:13" x14ac:dyDescent="0.25">
      <c r="J67" s="13">
        <f>J66*12</f>
        <v>25716</v>
      </c>
    </row>
    <row r="68" spans="2:13" x14ac:dyDescent="0.25">
      <c r="J68" s="13">
        <f>J67*0.357</f>
        <v>9180.6119999999992</v>
      </c>
    </row>
    <row r="70" spans="2:13" x14ac:dyDescent="0.25">
      <c r="J70" s="35">
        <f>SUM(J20:J21)+SUM(J5:J9)</f>
        <v>6163</v>
      </c>
    </row>
    <row r="71" spans="2:13" x14ac:dyDescent="0.25">
      <c r="J71" s="13">
        <f>J70*12</f>
        <v>73956</v>
      </c>
    </row>
    <row r="72" spans="2:13" x14ac:dyDescent="0.25">
      <c r="J72" s="13">
        <f>J71*0.357</f>
        <v>26402.291999999998</v>
      </c>
    </row>
    <row r="73" spans="2:13" x14ac:dyDescent="0.25">
      <c r="B73" s="13" t="s">
        <v>358</v>
      </c>
    </row>
    <row r="74" spans="2:13" x14ac:dyDescent="0.25">
      <c r="B74" s="13" t="s">
        <v>360</v>
      </c>
    </row>
    <row r="75" spans="2:13" x14ac:dyDescent="0.25">
      <c r="B75" s="13" t="s">
        <v>369</v>
      </c>
    </row>
  </sheetData>
  <autoFilter ref="B4:N4">
    <sortState ref="B5:N47">
      <sortCondition ref="B4"/>
    </sortState>
  </autoFilter>
  <mergeCells count="4">
    <mergeCell ref="B1:N1"/>
    <mergeCell ref="B45:C45"/>
    <mergeCell ref="B47:D47"/>
    <mergeCell ref="H47:J47"/>
  </mergeCells>
  <conditionalFormatting sqref="P20:P43">
    <cfRule type="duplicateValues" dxfId="1" priority="1" stopIfTrue="1"/>
  </conditionalFormatting>
  <printOptions horizontalCentered="1" verticalCentered="1"/>
  <pageMargins left="0.31496062992125984" right="0.31496062992125984" top="0.55118110236220474" bottom="0.19685039370078741" header="0.31496062992125984" footer="0.31496062992125984"/>
  <pageSetup paperSize="9" scale="4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T75"/>
  <sheetViews>
    <sheetView view="pageBreakPreview" zoomScale="55" zoomScaleNormal="85" zoomScaleSheetLayoutView="55" workbookViewId="0">
      <selection activeCell="C31" sqref="C31"/>
    </sheetView>
  </sheetViews>
  <sheetFormatPr defaultRowHeight="15" outlineLevelCol="1" x14ac:dyDescent="0.25"/>
  <cols>
    <col min="1" max="1" width="7.85546875" style="13" customWidth="1"/>
    <col min="2" max="2" width="14" style="13" customWidth="1"/>
    <col min="3" max="3" width="54.140625" style="13" customWidth="1"/>
    <col min="4" max="4" width="13.5703125" style="13" customWidth="1"/>
    <col min="5" max="5" width="14.42578125" style="13" customWidth="1"/>
    <col min="6" max="6" width="6.7109375" style="13" customWidth="1"/>
    <col min="7" max="7" width="14.42578125" style="13" customWidth="1"/>
    <col min="8" max="8" width="15.42578125" style="13" customWidth="1" outlineLevel="1"/>
    <col min="9" max="9" width="16.42578125" style="13" customWidth="1" outlineLevel="1"/>
    <col min="10" max="10" width="14.85546875" style="13" customWidth="1" outlineLevel="1"/>
    <col min="11" max="11" width="13" style="13" customWidth="1" outlineLevel="1"/>
    <col min="12" max="12" width="11.7109375" style="13" customWidth="1" outlineLevel="1"/>
    <col min="13" max="13" width="14" style="13" customWidth="1" outlineLevel="1"/>
    <col min="14" max="15" width="11.7109375" style="13" customWidth="1" outlineLevel="1"/>
    <col min="16" max="16" width="12.7109375" style="13" customWidth="1"/>
    <col min="17" max="17" width="18.7109375" style="13" customWidth="1"/>
    <col min="18" max="18" width="71.42578125" style="13" customWidth="1"/>
    <col min="19" max="19" width="21.85546875" style="13" customWidth="1"/>
    <col min="20" max="20" width="12.7109375" style="13" customWidth="1"/>
    <col min="21" max="16384" width="9.140625" style="13"/>
  </cols>
  <sheetData>
    <row r="1" spans="1:20" ht="18.75" x14ac:dyDescent="0.25">
      <c r="A1" s="36"/>
      <c r="B1" s="338" t="s">
        <v>328</v>
      </c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136"/>
    </row>
    <row r="2" spans="1:20" ht="18" customHeight="1" x14ac:dyDescent="0.25">
      <c r="A2" s="36"/>
      <c r="B2" s="154"/>
      <c r="C2" s="36"/>
      <c r="D2" s="36"/>
      <c r="E2" s="36"/>
      <c r="F2" s="36"/>
      <c r="G2" s="36"/>
      <c r="H2" s="256" t="s">
        <v>397</v>
      </c>
      <c r="I2" s="256" t="s">
        <v>396</v>
      </c>
      <c r="J2" s="36"/>
      <c r="K2" s="36"/>
      <c r="L2" s="36"/>
      <c r="M2" s="36"/>
      <c r="N2" s="36"/>
    </row>
    <row r="3" spans="1:20" ht="76.5" x14ac:dyDescent="0.25">
      <c r="A3" s="288" t="s">
        <v>400</v>
      </c>
      <c r="B3" s="46" t="s">
        <v>239</v>
      </c>
      <c r="C3" s="46" t="s">
        <v>240</v>
      </c>
      <c r="D3" s="257" t="s">
        <v>241</v>
      </c>
      <c r="E3" s="46" t="s">
        <v>242</v>
      </c>
      <c r="F3" s="46" t="s">
        <v>243</v>
      </c>
      <c r="G3" s="46" t="s">
        <v>244</v>
      </c>
      <c r="H3" s="46" t="s">
        <v>245</v>
      </c>
      <c r="I3" s="46" t="s">
        <v>246</v>
      </c>
      <c r="J3" s="46" t="s">
        <v>399</v>
      </c>
      <c r="K3" s="46" t="s">
        <v>247</v>
      </c>
      <c r="L3" s="46" t="s">
        <v>248</v>
      </c>
      <c r="M3" s="46" t="s">
        <v>398</v>
      </c>
      <c r="N3" s="46" t="s">
        <v>302</v>
      </c>
      <c r="O3" s="137"/>
    </row>
    <row r="4" spans="1:20" x14ac:dyDescent="0.25">
      <c r="A4" s="36"/>
      <c r="B4" s="46">
        <v>1</v>
      </c>
      <c r="C4" s="46">
        <v>2</v>
      </c>
      <c r="D4" s="46">
        <v>3</v>
      </c>
      <c r="E4" s="46">
        <v>4</v>
      </c>
      <c r="F4" s="46">
        <v>5</v>
      </c>
      <c r="G4" s="46">
        <v>6</v>
      </c>
      <c r="H4" s="46">
        <v>7</v>
      </c>
      <c r="I4" s="46">
        <v>8</v>
      </c>
      <c r="J4" s="46">
        <v>9</v>
      </c>
      <c r="K4" s="46">
        <v>10</v>
      </c>
      <c r="L4" s="46">
        <v>11</v>
      </c>
      <c r="M4" s="46">
        <v>12</v>
      </c>
      <c r="N4" s="46"/>
      <c r="O4" s="137"/>
      <c r="Q4" s="13" t="s">
        <v>306</v>
      </c>
    </row>
    <row r="5" spans="1:20" ht="31.5" x14ac:dyDescent="0.25">
      <c r="A5" s="143" t="s">
        <v>418</v>
      </c>
      <c r="B5" s="258" t="s">
        <v>260</v>
      </c>
      <c r="C5" s="259" t="s">
        <v>261</v>
      </c>
      <c r="D5" s="260">
        <f>1721268</f>
        <v>1721268</v>
      </c>
      <c r="E5" s="261" t="s">
        <v>262</v>
      </c>
      <c r="F5" s="262">
        <v>706</v>
      </c>
      <c r="G5" s="263" t="s">
        <v>180</v>
      </c>
      <c r="H5" s="264">
        <v>957864</v>
      </c>
      <c r="I5" s="265">
        <v>763404</v>
      </c>
      <c r="J5" s="264">
        <v>2410</v>
      </c>
      <c r="K5" s="266">
        <v>12</v>
      </c>
      <c r="L5" s="266" t="s">
        <v>180</v>
      </c>
      <c r="M5" s="264">
        <f>J5*K5</f>
        <v>28920</v>
      </c>
      <c r="N5" s="264">
        <f>I5-M5</f>
        <v>734484</v>
      </c>
      <c r="O5" s="138"/>
      <c r="Q5" s="58" t="s">
        <v>305</v>
      </c>
      <c r="R5" s="59" t="s">
        <v>303</v>
      </c>
      <c r="S5" s="60" t="s">
        <v>304</v>
      </c>
      <c r="T5" s="56"/>
    </row>
    <row r="6" spans="1:20" ht="21" x14ac:dyDescent="0.25">
      <c r="A6" s="143" t="s">
        <v>417</v>
      </c>
      <c r="B6" s="258" t="s">
        <v>392</v>
      </c>
      <c r="C6" s="267" t="s">
        <v>388</v>
      </c>
      <c r="D6" s="265">
        <v>2956241</v>
      </c>
      <c r="E6" s="261" t="s">
        <v>395</v>
      </c>
      <c r="F6" s="261">
        <v>1000</v>
      </c>
      <c r="G6" s="263" t="s">
        <v>180</v>
      </c>
      <c r="H6" s="268">
        <v>1877156</v>
      </c>
      <c r="I6" s="260">
        <v>1079085</v>
      </c>
      <c r="J6" s="268">
        <v>2956</v>
      </c>
      <c r="K6" s="266">
        <v>12</v>
      </c>
      <c r="L6" s="264"/>
      <c r="M6" s="268">
        <f t="shared" ref="M6:M42" si="0">J6*K6</f>
        <v>35472</v>
      </c>
      <c r="N6" s="268">
        <f t="shared" ref="N6:N43" si="1">I6-M6</f>
        <v>1043613</v>
      </c>
      <c r="O6" s="139"/>
      <c r="Q6" s="58" t="s">
        <v>305</v>
      </c>
      <c r="R6" s="59" t="s">
        <v>303</v>
      </c>
      <c r="S6" s="60" t="s">
        <v>304</v>
      </c>
    </row>
    <row r="7" spans="1:20" ht="21" x14ac:dyDescent="0.25">
      <c r="A7" s="143" t="s">
        <v>419</v>
      </c>
      <c r="B7" s="258" t="s">
        <v>353</v>
      </c>
      <c r="C7" s="267" t="s">
        <v>336</v>
      </c>
      <c r="D7" s="265">
        <v>17484</v>
      </c>
      <c r="E7" s="261" t="s">
        <v>372</v>
      </c>
      <c r="F7" s="269">
        <v>600</v>
      </c>
      <c r="G7" s="263" t="s">
        <v>180</v>
      </c>
      <c r="H7" s="268">
        <v>16625</v>
      </c>
      <c r="I7" s="260">
        <v>859</v>
      </c>
      <c r="J7" s="268">
        <v>30</v>
      </c>
      <c r="K7" s="266">
        <v>12</v>
      </c>
      <c r="L7" s="264"/>
      <c r="M7" s="268">
        <f t="shared" si="0"/>
        <v>360</v>
      </c>
      <c r="N7" s="268">
        <f t="shared" si="1"/>
        <v>499</v>
      </c>
      <c r="O7" s="139"/>
      <c r="Q7" s="58" t="s">
        <v>305</v>
      </c>
      <c r="R7" s="59" t="s">
        <v>303</v>
      </c>
      <c r="S7" s="60" t="s">
        <v>304</v>
      </c>
    </row>
    <row r="8" spans="1:20" ht="31.5" x14ac:dyDescent="0.25">
      <c r="A8" s="143" t="s">
        <v>419</v>
      </c>
      <c r="B8" s="258" t="s">
        <v>354</v>
      </c>
      <c r="C8" s="267" t="s">
        <v>337</v>
      </c>
      <c r="D8" s="265">
        <v>46007</v>
      </c>
      <c r="E8" s="261" t="s">
        <v>372</v>
      </c>
      <c r="F8" s="269">
        <v>600</v>
      </c>
      <c r="G8" s="263" t="s">
        <v>180</v>
      </c>
      <c r="H8" s="268">
        <v>43591</v>
      </c>
      <c r="I8" s="260">
        <v>2416</v>
      </c>
      <c r="J8" s="268">
        <v>78</v>
      </c>
      <c r="K8" s="266">
        <v>12</v>
      </c>
      <c r="L8" s="264"/>
      <c r="M8" s="268">
        <f t="shared" si="0"/>
        <v>936</v>
      </c>
      <c r="N8" s="268">
        <f t="shared" si="1"/>
        <v>1480</v>
      </c>
      <c r="O8" s="139"/>
      <c r="Q8" s="58" t="s">
        <v>305</v>
      </c>
      <c r="R8" s="59" t="s">
        <v>303</v>
      </c>
      <c r="S8" s="60" t="s">
        <v>304</v>
      </c>
    </row>
    <row r="9" spans="1:20" ht="15.75" customHeight="1" x14ac:dyDescent="0.25">
      <c r="A9" s="143" t="s">
        <v>417</v>
      </c>
      <c r="B9" s="258" t="s">
        <v>355</v>
      </c>
      <c r="C9" s="267" t="s">
        <v>338</v>
      </c>
      <c r="D9" s="265">
        <v>31241</v>
      </c>
      <c r="E9" s="261" t="s">
        <v>373</v>
      </c>
      <c r="F9" s="269">
        <v>600</v>
      </c>
      <c r="G9" s="263" t="s">
        <v>180</v>
      </c>
      <c r="H9" s="268">
        <v>21365</v>
      </c>
      <c r="I9" s="260">
        <v>9876</v>
      </c>
      <c r="J9" s="268">
        <v>53</v>
      </c>
      <c r="K9" s="266">
        <v>12</v>
      </c>
      <c r="L9" s="264"/>
      <c r="M9" s="268">
        <f t="shared" si="0"/>
        <v>636</v>
      </c>
      <c r="N9" s="268">
        <f t="shared" si="1"/>
        <v>9240</v>
      </c>
      <c r="O9" s="139"/>
      <c r="Q9" s="58" t="s">
        <v>305</v>
      </c>
      <c r="R9" s="59" t="s">
        <v>303</v>
      </c>
      <c r="S9" s="60" t="s">
        <v>304</v>
      </c>
    </row>
    <row r="10" spans="1:20" ht="31.5" x14ac:dyDescent="0.25">
      <c r="A10" s="143" t="s">
        <v>417</v>
      </c>
      <c r="B10" s="258" t="s">
        <v>356</v>
      </c>
      <c r="C10" s="267" t="s">
        <v>339</v>
      </c>
      <c r="D10" s="265">
        <v>33774</v>
      </c>
      <c r="E10" s="270" t="s">
        <v>374</v>
      </c>
      <c r="F10" s="271">
        <v>600</v>
      </c>
      <c r="G10" s="263" t="s">
        <v>180</v>
      </c>
      <c r="H10" s="268">
        <v>29505</v>
      </c>
      <c r="I10" s="260">
        <v>4269</v>
      </c>
      <c r="J10" s="268">
        <v>57</v>
      </c>
      <c r="K10" s="266">
        <v>12</v>
      </c>
      <c r="L10" s="264"/>
      <c r="M10" s="268">
        <f t="shared" si="0"/>
        <v>684</v>
      </c>
      <c r="N10" s="268">
        <f t="shared" si="1"/>
        <v>3585</v>
      </c>
      <c r="O10" s="139"/>
      <c r="Q10" s="58">
        <v>143120162</v>
      </c>
      <c r="R10" s="130" t="s">
        <v>416</v>
      </c>
    </row>
    <row r="11" spans="1:20" ht="15.75" x14ac:dyDescent="0.25">
      <c r="A11" s="143" t="s">
        <v>417</v>
      </c>
      <c r="B11" s="258" t="s">
        <v>357</v>
      </c>
      <c r="C11" s="267" t="s">
        <v>340</v>
      </c>
      <c r="D11" s="265">
        <v>43319</v>
      </c>
      <c r="E11" s="261" t="s">
        <v>375</v>
      </c>
      <c r="F11" s="269">
        <v>600</v>
      </c>
      <c r="G11" s="263" t="s">
        <v>180</v>
      </c>
      <c r="H11" s="268">
        <v>41782</v>
      </c>
      <c r="I11" s="260">
        <v>1537</v>
      </c>
      <c r="J11" s="268">
        <v>74</v>
      </c>
      <c r="K11" s="266">
        <v>12</v>
      </c>
      <c r="L11" s="264"/>
      <c r="M11" s="268">
        <f t="shared" si="0"/>
        <v>888</v>
      </c>
      <c r="N11" s="268">
        <f t="shared" si="1"/>
        <v>649</v>
      </c>
      <c r="O11" s="139"/>
    </row>
    <row r="12" spans="1:20" s="34" customFormat="1" ht="31.5" x14ac:dyDescent="0.25">
      <c r="A12" s="143" t="s">
        <v>417</v>
      </c>
      <c r="B12" s="269" t="s">
        <v>358</v>
      </c>
      <c r="C12" s="272" t="s">
        <v>341</v>
      </c>
      <c r="D12" s="273">
        <v>23016</v>
      </c>
      <c r="E12" s="261" t="s">
        <v>376</v>
      </c>
      <c r="F12" s="269">
        <v>600</v>
      </c>
      <c r="G12" s="263" t="s">
        <v>180</v>
      </c>
      <c r="H12" s="274">
        <v>22699</v>
      </c>
      <c r="I12" s="273">
        <v>317</v>
      </c>
      <c r="J12" s="274">
        <v>39</v>
      </c>
      <c r="K12" s="289">
        <v>8.1282051282051277</v>
      </c>
      <c r="L12" s="264"/>
      <c r="M12" s="274">
        <f t="shared" si="0"/>
        <v>317</v>
      </c>
      <c r="N12" s="274">
        <f t="shared" si="1"/>
        <v>0</v>
      </c>
      <c r="O12" s="140"/>
    </row>
    <row r="13" spans="1:20" ht="15.75" x14ac:dyDescent="0.25">
      <c r="A13" s="143" t="s">
        <v>417</v>
      </c>
      <c r="B13" s="258" t="s">
        <v>359</v>
      </c>
      <c r="C13" s="267" t="s">
        <v>342</v>
      </c>
      <c r="D13" s="265">
        <v>24112</v>
      </c>
      <c r="E13" s="261" t="s">
        <v>375</v>
      </c>
      <c r="F13" s="269">
        <v>600</v>
      </c>
      <c r="G13" s="263" t="s">
        <v>180</v>
      </c>
      <c r="H13" s="268">
        <v>23215</v>
      </c>
      <c r="I13" s="260">
        <v>897</v>
      </c>
      <c r="J13" s="268">
        <v>41</v>
      </c>
      <c r="K13" s="266">
        <v>12</v>
      </c>
      <c r="L13" s="264"/>
      <c r="M13" s="268">
        <f t="shared" si="0"/>
        <v>492</v>
      </c>
      <c r="N13" s="268">
        <f t="shared" si="1"/>
        <v>405</v>
      </c>
      <c r="O13" s="139"/>
    </row>
    <row r="14" spans="1:20" ht="31.5" x14ac:dyDescent="0.25">
      <c r="A14" s="143" t="s">
        <v>417</v>
      </c>
      <c r="B14" s="258" t="s">
        <v>361</v>
      </c>
      <c r="C14" s="267" t="s">
        <v>343</v>
      </c>
      <c r="D14" s="265">
        <v>792585</v>
      </c>
      <c r="E14" s="261" t="s">
        <v>377</v>
      </c>
      <c r="F14" s="269">
        <v>600</v>
      </c>
      <c r="G14" s="263" t="s">
        <v>180</v>
      </c>
      <c r="H14" s="268">
        <v>729424</v>
      </c>
      <c r="I14" s="260">
        <v>63161</v>
      </c>
      <c r="J14" s="268">
        <v>1347</v>
      </c>
      <c r="K14" s="266">
        <v>12</v>
      </c>
      <c r="L14" s="264"/>
      <c r="M14" s="268">
        <f t="shared" si="0"/>
        <v>16164</v>
      </c>
      <c r="N14" s="268">
        <f t="shared" si="1"/>
        <v>46997</v>
      </c>
      <c r="O14" s="139"/>
    </row>
    <row r="15" spans="1:20" ht="31.5" x14ac:dyDescent="0.25">
      <c r="A15" s="143" t="s">
        <v>419</v>
      </c>
      <c r="B15" s="258" t="s">
        <v>362</v>
      </c>
      <c r="C15" s="267" t="s">
        <v>344</v>
      </c>
      <c r="D15" s="265">
        <v>68462</v>
      </c>
      <c r="E15" s="261" t="s">
        <v>378</v>
      </c>
      <c r="F15" s="269">
        <v>600</v>
      </c>
      <c r="G15" s="263" t="s">
        <v>180</v>
      </c>
      <c r="H15" s="268">
        <v>54897</v>
      </c>
      <c r="I15" s="260">
        <v>13565</v>
      </c>
      <c r="J15" s="268">
        <v>116</v>
      </c>
      <c r="K15" s="266">
        <v>12</v>
      </c>
      <c r="L15" s="264"/>
      <c r="M15" s="268">
        <f t="shared" si="0"/>
        <v>1392</v>
      </c>
      <c r="N15" s="268">
        <f t="shared" si="1"/>
        <v>12173</v>
      </c>
      <c r="O15" s="139"/>
    </row>
    <row r="16" spans="1:20" ht="15.75" x14ac:dyDescent="0.25">
      <c r="A16" s="143" t="s">
        <v>417</v>
      </c>
      <c r="B16" s="258" t="s">
        <v>363</v>
      </c>
      <c r="C16" s="267" t="s">
        <v>345</v>
      </c>
      <c r="D16" s="265">
        <v>144192</v>
      </c>
      <c r="E16" s="261" t="s">
        <v>379</v>
      </c>
      <c r="F16" s="269">
        <v>600</v>
      </c>
      <c r="G16" s="263" t="s">
        <v>180</v>
      </c>
      <c r="H16" s="268">
        <v>110227</v>
      </c>
      <c r="I16" s="260">
        <v>33965</v>
      </c>
      <c r="J16" s="268">
        <v>245</v>
      </c>
      <c r="K16" s="266">
        <v>12</v>
      </c>
      <c r="L16" s="264"/>
      <c r="M16" s="268">
        <f t="shared" si="0"/>
        <v>2940</v>
      </c>
      <c r="N16" s="268">
        <f t="shared" si="1"/>
        <v>31025</v>
      </c>
      <c r="O16" s="139"/>
    </row>
    <row r="17" spans="1:20" ht="15.75" x14ac:dyDescent="0.25">
      <c r="A17" s="143" t="s">
        <v>417</v>
      </c>
      <c r="B17" s="258" t="s">
        <v>364</v>
      </c>
      <c r="C17" s="267" t="s">
        <v>346</v>
      </c>
      <c r="D17" s="265">
        <v>25287</v>
      </c>
      <c r="E17" s="261" t="s">
        <v>380</v>
      </c>
      <c r="F17" s="269">
        <v>600</v>
      </c>
      <c r="G17" s="263" t="s">
        <v>180</v>
      </c>
      <c r="H17" s="268">
        <v>19294</v>
      </c>
      <c r="I17" s="260">
        <v>5993</v>
      </c>
      <c r="J17" s="268">
        <v>43</v>
      </c>
      <c r="K17" s="266">
        <v>12</v>
      </c>
      <c r="L17" s="264"/>
      <c r="M17" s="268">
        <f t="shared" si="0"/>
        <v>516</v>
      </c>
      <c r="N17" s="268">
        <f t="shared" si="1"/>
        <v>5477</v>
      </c>
      <c r="O17" s="139"/>
    </row>
    <row r="18" spans="1:20" ht="15.75" x14ac:dyDescent="0.25">
      <c r="A18" s="143" t="s">
        <v>417</v>
      </c>
      <c r="B18" s="258" t="s">
        <v>365</v>
      </c>
      <c r="C18" s="267" t="s">
        <v>347</v>
      </c>
      <c r="D18" s="265">
        <v>106338</v>
      </c>
      <c r="E18" s="261" t="s">
        <v>381</v>
      </c>
      <c r="F18" s="269">
        <v>600</v>
      </c>
      <c r="G18" s="263" t="s">
        <v>180</v>
      </c>
      <c r="H18" s="268">
        <v>76923</v>
      </c>
      <c r="I18" s="260">
        <v>29415</v>
      </c>
      <c r="J18" s="268">
        <v>181</v>
      </c>
      <c r="K18" s="266">
        <v>12</v>
      </c>
      <c r="L18" s="264"/>
      <c r="M18" s="268">
        <f t="shared" si="0"/>
        <v>2172</v>
      </c>
      <c r="N18" s="268">
        <f t="shared" si="1"/>
        <v>27243</v>
      </c>
      <c r="O18" s="139"/>
    </row>
    <row r="19" spans="1:20" ht="31.5" x14ac:dyDescent="0.25">
      <c r="A19" s="143" t="s">
        <v>418</v>
      </c>
      <c r="B19" s="258" t="s">
        <v>263</v>
      </c>
      <c r="C19" s="259" t="s">
        <v>264</v>
      </c>
      <c r="D19" s="273">
        <f>4933942</f>
        <v>4933942</v>
      </c>
      <c r="E19" s="261" t="s">
        <v>262</v>
      </c>
      <c r="F19" s="269">
        <v>600</v>
      </c>
      <c r="G19" s="263" t="s">
        <v>180</v>
      </c>
      <c r="H19" s="264">
        <v>3279799</v>
      </c>
      <c r="I19" s="273">
        <v>1654143</v>
      </c>
      <c r="J19" s="264">
        <v>8388</v>
      </c>
      <c r="K19" s="266">
        <v>12</v>
      </c>
      <c r="L19" s="266" t="s">
        <v>180</v>
      </c>
      <c r="M19" s="264">
        <f t="shared" si="0"/>
        <v>100656</v>
      </c>
      <c r="N19" s="264">
        <f t="shared" si="1"/>
        <v>1553487</v>
      </c>
      <c r="O19" s="138"/>
      <c r="R19" s="13" t="s">
        <v>271</v>
      </c>
      <c r="S19" s="13" t="s">
        <v>272</v>
      </c>
      <c r="T19" s="13" t="s">
        <v>273</v>
      </c>
    </row>
    <row r="20" spans="1:20" s="36" customFormat="1" ht="15.75" x14ac:dyDescent="0.25">
      <c r="A20" s="143" t="s">
        <v>417</v>
      </c>
      <c r="B20" s="258" t="s">
        <v>366</v>
      </c>
      <c r="C20" s="267" t="s">
        <v>348</v>
      </c>
      <c r="D20" s="265">
        <v>339932</v>
      </c>
      <c r="E20" s="261" t="s">
        <v>382</v>
      </c>
      <c r="F20" s="269">
        <v>600</v>
      </c>
      <c r="G20" s="263" t="s">
        <v>180</v>
      </c>
      <c r="H20" s="268">
        <v>219776</v>
      </c>
      <c r="I20" s="260">
        <v>120156</v>
      </c>
      <c r="J20" s="268">
        <v>578</v>
      </c>
      <c r="K20" s="266">
        <v>12</v>
      </c>
      <c r="L20" s="264"/>
      <c r="M20" s="268">
        <f t="shared" si="0"/>
        <v>6936</v>
      </c>
      <c r="N20" s="268">
        <f t="shared" si="1"/>
        <v>113220</v>
      </c>
      <c r="O20" s="139"/>
      <c r="P20" s="47" t="s">
        <v>274</v>
      </c>
      <c r="Q20" s="48" t="s">
        <v>277</v>
      </c>
      <c r="R20" s="49">
        <v>5</v>
      </c>
      <c r="S20" s="50" t="s">
        <v>278</v>
      </c>
      <c r="T20" s="51" t="s">
        <v>279</v>
      </c>
    </row>
    <row r="21" spans="1:20" s="36" customFormat="1" ht="15.75" x14ac:dyDescent="0.25">
      <c r="A21" s="143" t="s">
        <v>417</v>
      </c>
      <c r="B21" s="258" t="s">
        <v>367</v>
      </c>
      <c r="C21" s="267" t="s">
        <v>349</v>
      </c>
      <c r="D21" s="265">
        <v>34154</v>
      </c>
      <c r="E21" s="261" t="s">
        <v>383</v>
      </c>
      <c r="F21" s="269">
        <v>600</v>
      </c>
      <c r="G21" s="263" t="s">
        <v>180</v>
      </c>
      <c r="H21" s="268">
        <v>22013</v>
      </c>
      <c r="I21" s="260">
        <v>12141</v>
      </c>
      <c r="J21" s="268">
        <v>58</v>
      </c>
      <c r="K21" s="266">
        <v>12</v>
      </c>
      <c r="L21" s="264"/>
      <c r="M21" s="268">
        <f t="shared" si="0"/>
        <v>696</v>
      </c>
      <c r="N21" s="268">
        <f t="shared" si="1"/>
        <v>11445</v>
      </c>
      <c r="O21" s="139"/>
      <c r="P21" s="47" t="s">
        <v>280</v>
      </c>
      <c r="Q21" s="52" t="s">
        <v>283</v>
      </c>
      <c r="R21" s="49">
        <v>4</v>
      </c>
      <c r="S21" s="36" t="s">
        <v>284</v>
      </c>
      <c r="T21" s="51" t="s">
        <v>285</v>
      </c>
    </row>
    <row r="22" spans="1:20" s="36" customFormat="1" ht="31.5" x14ac:dyDescent="0.25">
      <c r="A22" s="143" t="s">
        <v>419</v>
      </c>
      <c r="B22" s="258" t="s">
        <v>368</v>
      </c>
      <c r="C22" s="267" t="s">
        <v>350</v>
      </c>
      <c r="D22" s="265">
        <v>63576</v>
      </c>
      <c r="E22" s="261" t="s">
        <v>384</v>
      </c>
      <c r="F22" s="269">
        <v>600</v>
      </c>
      <c r="G22" s="263" t="s">
        <v>180</v>
      </c>
      <c r="H22" s="268">
        <v>50086</v>
      </c>
      <c r="I22" s="260">
        <v>13490</v>
      </c>
      <c r="J22" s="268">
        <v>108</v>
      </c>
      <c r="K22" s="266">
        <v>12</v>
      </c>
      <c r="L22" s="264"/>
      <c r="M22" s="268">
        <f t="shared" si="0"/>
        <v>1296</v>
      </c>
      <c r="N22" s="268">
        <f t="shared" si="1"/>
        <v>12194</v>
      </c>
      <c r="O22" s="139"/>
      <c r="P22" s="47"/>
      <c r="Q22" s="124"/>
      <c r="R22" s="49"/>
      <c r="T22" s="51"/>
    </row>
    <row r="23" spans="1:20" s="36" customFormat="1" ht="15.75" x14ac:dyDescent="0.25">
      <c r="A23" s="143" t="s">
        <v>418</v>
      </c>
      <c r="B23" s="269" t="s">
        <v>249</v>
      </c>
      <c r="C23" s="272" t="s">
        <v>250</v>
      </c>
      <c r="D23" s="273">
        <f>14024</f>
        <v>14024</v>
      </c>
      <c r="E23" s="261" t="s">
        <v>251</v>
      </c>
      <c r="F23" s="258">
        <v>273</v>
      </c>
      <c r="G23" s="263" t="s">
        <v>180</v>
      </c>
      <c r="H23" s="264">
        <v>13003</v>
      </c>
      <c r="I23" s="260">
        <v>1021</v>
      </c>
      <c r="J23" s="264">
        <v>52</v>
      </c>
      <c r="K23" s="266">
        <v>12</v>
      </c>
      <c r="L23" s="266" t="s">
        <v>180</v>
      </c>
      <c r="M23" s="264">
        <f t="shared" si="0"/>
        <v>624</v>
      </c>
      <c r="N23" s="264">
        <f t="shared" si="1"/>
        <v>397</v>
      </c>
      <c r="O23" s="138"/>
      <c r="P23" s="47"/>
      <c r="Q23" s="124"/>
      <c r="R23" s="49"/>
      <c r="T23" s="51"/>
    </row>
    <row r="24" spans="1:20" s="36" customFormat="1" ht="15.75" x14ac:dyDescent="0.25">
      <c r="A24" s="143" t="s">
        <v>418</v>
      </c>
      <c r="B24" s="269" t="s">
        <v>252</v>
      </c>
      <c r="C24" s="272" t="s">
        <v>250</v>
      </c>
      <c r="D24" s="273">
        <f>14024</f>
        <v>14024</v>
      </c>
      <c r="E24" s="261" t="s">
        <v>251</v>
      </c>
      <c r="F24" s="258">
        <v>273</v>
      </c>
      <c r="G24" s="263" t="s">
        <v>180</v>
      </c>
      <c r="H24" s="264">
        <v>13003</v>
      </c>
      <c r="I24" s="260">
        <v>1021</v>
      </c>
      <c r="J24" s="264">
        <v>52</v>
      </c>
      <c r="K24" s="266">
        <v>12</v>
      </c>
      <c r="L24" s="266" t="s">
        <v>180</v>
      </c>
      <c r="M24" s="264">
        <f t="shared" si="0"/>
        <v>624</v>
      </c>
      <c r="N24" s="264">
        <f t="shared" si="1"/>
        <v>397</v>
      </c>
      <c r="O24" s="138"/>
      <c r="P24" s="47"/>
      <c r="Q24" s="124"/>
      <c r="R24" s="49"/>
      <c r="T24" s="51"/>
    </row>
    <row r="25" spans="1:20" s="36" customFormat="1" ht="15.75" x14ac:dyDescent="0.25">
      <c r="A25" s="143" t="s">
        <v>418</v>
      </c>
      <c r="B25" s="269" t="s">
        <v>253</v>
      </c>
      <c r="C25" s="272" t="s">
        <v>250</v>
      </c>
      <c r="D25" s="273">
        <f>14024</f>
        <v>14024</v>
      </c>
      <c r="E25" s="261" t="s">
        <v>251</v>
      </c>
      <c r="F25" s="258">
        <v>273</v>
      </c>
      <c r="G25" s="263" t="s">
        <v>180</v>
      </c>
      <c r="H25" s="264">
        <v>13003</v>
      </c>
      <c r="I25" s="260">
        <v>1021</v>
      </c>
      <c r="J25" s="264">
        <v>52</v>
      </c>
      <c r="K25" s="266">
        <v>12</v>
      </c>
      <c r="L25" s="266" t="s">
        <v>180</v>
      </c>
      <c r="M25" s="264">
        <f t="shared" si="0"/>
        <v>624</v>
      </c>
      <c r="N25" s="264">
        <f t="shared" si="1"/>
        <v>397</v>
      </c>
      <c r="O25" s="138"/>
      <c r="P25" s="47"/>
      <c r="Q25" s="124"/>
      <c r="R25" s="49"/>
      <c r="T25" s="51"/>
    </row>
    <row r="26" spans="1:20" s="36" customFormat="1" ht="15.75" x14ac:dyDescent="0.25">
      <c r="A26" s="143" t="s">
        <v>418</v>
      </c>
      <c r="B26" s="269" t="s">
        <v>254</v>
      </c>
      <c r="C26" s="272" t="s">
        <v>250</v>
      </c>
      <c r="D26" s="273">
        <f>14024</f>
        <v>14024</v>
      </c>
      <c r="E26" s="261" t="s">
        <v>251</v>
      </c>
      <c r="F26" s="258">
        <v>273</v>
      </c>
      <c r="G26" s="263" t="s">
        <v>180</v>
      </c>
      <c r="H26" s="264">
        <v>13003</v>
      </c>
      <c r="I26" s="260">
        <v>1021</v>
      </c>
      <c r="J26" s="264">
        <v>52</v>
      </c>
      <c r="K26" s="266">
        <v>12</v>
      </c>
      <c r="L26" s="266" t="s">
        <v>180</v>
      </c>
      <c r="M26" s="264">
        <f t="shared" si="0"/>
        <v>624</v>
      </c>
      <c r="N26" s="264">
        <f t="shared" si="1"/>
        <v>397</v>
      </c>
      <c r="O26" s="138"/>
      <c r="P26" s="47"/>
      <c r="Q26" s="124"/>
      <c r="R26" s="49"/>
      <c r="T26" s="51"/>
    </row>
    <row r="27" spans="1:20" s="36" customFormat="1" ht="15.75" x14ac:dyDescent="0.25">
      <c r="A27" s="143" t="s">
        <v>418</v>
      </c>
      <c r="B27" s="258" t="s">
        <v>255</v>
      </c>
      <c r="C27" s="259" t="s">
        <v>256</v>
      </c>
      <c r="D27" s="260">
        <f>37067</f>
        <v>37067</v>
      </c>
      <c r="E27" s="261" t="s">
        <v>251</v>
      </c>
      <c r="F27" s="258">
        <v>273</v>
      </c>
      <c r="G27" s="263" t="s">
        <v>180</v>
      </c>
      <c r="H27" s="264">
        <v>34463</v>
      </c>
      <c r="I27" s="260">
        <v>2604</v>
      </c>
      <c r="J27" s="264">
        <v>137</v>
      </c>
      <c r="K27" s="266">
        <v>12</v>
      </c>
      <c r="L27" s="266" t="s">
        <v>180</v>
      </c>
      <c r="M27" s="264">
        <f t="shared" si="0"/>
        <v>1644</v>
      </c>
      <c r="N27" s="264">
        <f t="shared" si="1"/>
        <v>960</v>
      </c>
      <c r="O27" s="138"/>
      <c r="P27" s="47"/>
      <c r="Q27" s="124"/>
      <c r="R27" s="49"/>
      <c r="T27" s="51"/>
    </row>
    <row r="28" spans="1:20" s="36" customFormat="1" ht="15.75" x14ac:dyDescent="0.25">
      <c r="A28" s="143" t="s">
        <v>418</v>
      </c>
      <c r="B28" s="258" t="s">
        <v>257</v>
      </c>
      <c r="C28" s="259" t="s">
        <v>256</v>
      </c>
      <c r="D28" s="260">
        <f>37067</f>
        <v>37067</v>
      </c>
      <c r="E28" s="261" t="s">
        <v>251</v>
      </c>
      <c r="F28" s="258">
        <v>273</v>
      </c>
      <c r="G28" s="263" t="s">
        <v>180</v>
      </c>
      <c r="H28" s="264">
        <v>34463</v>
      </c>
      <c r="I28" s="260">
        <v>2604</v>
      </c>
      <c r="J28" s="264">
        <v>137</v>
      </c>
      <c r="K28" s="266">
        <v>12</v>
      </c>
      <c r="L28" s="266" t="s">
        <v>180</v>
      </c>
      <c r="M28" s="264">
        <f t="shared" si="0"/>
        <v>1644</v>
      </c>
      <c r="N28" s="264">
        <f t="shared" si="1"/>
        <v>960</v>
      </c>
      <c r="O28" s="138"/>
      <c r="P28" s="47"/>
      <c r="Q28" s="124"/>
      <c r="R28" s="49"/>
      <c r="T28" s="51"/>
    </row>
    <row r="29" spans="1:20" s="36" customFormat="1" ht="15.75" x14ac:dyDescent="0.25">
      <c r="A29" s="143" t="s">
        <v>418</v>
      </c>
      <c r="B29" s="258" t="s">
        <v>258</v>
      </c>
      <c r="C29" s="259" t="s">
        <v>256</v>
      </c>
      <c r="D29" s="260">
        <f>37067</f>
        <v>37067</v>
      </c>
      <c r="E29" s="261" t="s">
        <v>251</v>
      </c>
      <c r="F29" s="258">
        <v>273</v>
      </c>
      <c r="G29" s="263" t="s">
        <v>180</v>
      </c>
      <c r="H29" s="264">
        <v>34463</v>
      </c>
      <c r="I29" s="260">
        <v>2604</v>
      </c>
      <c r="J29" s="264">
        <v>137</v>
      </c>
      <c r="K29" s="266">
        <v>12</v>
      </c>
      <c r="L29" s="266" t="s">
        <v>180</v>
      </c>
      <c r="M29" s="264">
        <f t="shared" si="0"/>
        <v>1644</v>
      </c>
      <c r="N29" s="264">
        <f t="shared" si="1"/>
        <v>960</v>
      </c>
      <c r="O29" s="138"/>
      <c r="P29" s="47"/>
      <c r="Q29" s="124"/>
      <c r="R29" s="49"/>
      <c r="T29" s="51"/>
    </row>
    <row r="30" spans="1:20" s="36" customFormat="1" ht="15.75" x14ac:dyDescent="0.25">
      <c r="A30" s="143" t="s">
        <v>418</v>
      </c>
      <c r="B30" s="258" t="s">
        <v>259</v>
      </c>
      <c r="C30" s="259" t="s">
        <v>256</v>
      </c>
      <c r="D30" s="260">
        <f>37067</f>
        <v>37067</v>
      </c>
      <c r="E30" s="261" t="s">
        <v>251</v>
      </c>
      <c r="F30" s="258">
        <v>273</v>
      </c>
      <c r="G30" s="263" t="s">
        <v>180</v>
      </c>
      <c r="H30" s="264">
        <v>34463</v>
      </c>
      <c r="I30" s="260">
        <v>2604</v>
      </c>
      <c r="J30" s="264">
        <v>137</v>
      </c>
      <c r="K30" s="266">
        <v>12</v>
      </c>
      <c r="L30" s="266" t="s">
        <v>180</v>
      </c>
      <c r="M30" s="264">
        <f t="shared" si="0"/>
        <v>1644</v>
      </c>
      <c r="N30" s="264">
        <f t="shared" si="1"/>
        <v>960</v>
      </c>
      <c r="O30" s="138"/>
      <c r="P30" s="47"/>
      <c r="Q30" s="124"/>
      <c r="R30" s="49"/>
      <c r="T30" s="51"/>
    </row>
    <row r="31" spans="1:20" s="36" customFormat="1" ht="31.5" x14ac:dyDescent="0.25">
      <c r="A31" s="143" t="s">
        <v>419</v>
      </c>
      <c r="B31" s="258" t="s">
        <v>370</v>
      </c>
      <c r="C31" s="267" t="s">
        <v>351</v>
      </c>
      <c r="D31" s="265">
        <v>15305</v>
      </c>
      <c r="E31" s="261" t="s">
        <v>384</v>
      </c>
      <c r="F31" s="269">
        <v>600</v>
      </c>
      <c r="G31" s="263" t="s">
        <v>180</v>
      </c>
      <c r="H31" s="268">
        <v>12083</v>
      </c>
      <c r="I31" s="260">
        <v>3222</v>
      </c>
      <c r="J31" s="268">
        <v>26</v>
      </c>
      <c r="K31" s="266">
        <v>12</v>
      </c>
      <c r="L31" s="264"/>
      <c r="M31" s="268">
        <f t="shared" si="0"/>
        <v>312</v>
      </c>
      <c r="N31" s="268">
        <f t="shared" si="1"/>
        <v>2910</v>
      </c>
      <c r="O31" s="139"/>
      <c r="P31" s="47"/>
      <c r="Q31" s="124"/>
      <c r="R31" s="49"/>
      <c r="T31" s="51"/>
    </row>
    <row r="32" spans="1:20" s="36" customFormat="1" ht="15.75" x14ac:dyDescent="0.25">
      <c r="A32" s="143" t="s">
        <v>417</v>
      </c>
      <c r="B32" s="258" t="s">
        <v>265</v>
      </c>
      <c r="C32" s="259" t="s">
        <v>266</v>
      </c>
      <c r="D32" s="260">
        <v>33490</v>
      </c>
      <c r="E32" s="261" t="s">
        <v>267</v>
      </c>
      <c r="F32" s="261">
        <v>600</v>
      </c>
      <c r="G32" s="263" t="s">
        <v>180</v>
      </c>
      <c r="H32" s="264">
        <v>21059</v>
      </c>
      <c r="I32" s="273">
        <v>12431</v>
      </c>
      <c r="J32" s="264">
        <v>57</v>
      </c>
      <c r="K32" s="266">
        <v>12</v>
      </c>
      <c r="L32" s="266" t="s">
        <v>180</v>
      </c>
      <c r="M32" s="264">
        <f t="shared" si="0"/>
        <v>684</v>
      </c>
      <c r="N32" s="264">
        <f t="shared" si="1"/>
        <v>11747</v>
      </c>
      <c r="O32" s="138"/>
      <c r="P32" s="47"/>
      <c r="Q32" s="124"/>
      <c r="R32" s="49"/>
      <c r="T32" s="51"/>
    </row>
    <row r="33" spans="1:20" s="36" customFormat="1" ht="15.75" x14ac:dyDescent="0.25">
      <c r="A33" s="143" t="s">
        <v>419</v>
      </c>
      <c r="B33" s="258" t="s">
        <v>371</v>
      </c>
      <c r="C33" s="267" t="s">
        <v>352</v>
      </c>
      <c r="D33" s="265">
        <v>22699</v>
      </c>
      <c r="E33" s="261" t="s">
        <v>385</v>
      </c>
      <c r="F33" s="269">
        <v>600</v>
      </c>
      <c r="G33" s="263" t="s">
        <v>180</v>
      </c>
      <c r="H33" s="268">
        <v>14493</v>
      </c>
      <c r="I33" s="260">
        <v>8206</v>
      </c>
      <c r="J33" s="268">
        <v>39</v>
      </c>
      <c r="K33" s="266">
        <v>12</v>
      </c>
      <c r="L33" s="264"/>
      <c r="M33" s="268">
        <f t="shared" si="0"/>
        <v>468</v>
      </c>
      <c r="N33" s="268">
        <f t="shared" si="1"/>
        <v>7738</v>
      </c>
      <c r="O33" s="139"/>
      <c r="P33" s="47"/>
      <c r="Q33" s="124"/>
      <c r="R33" s="49"/>
      <c r="T33" s="51"/>
    </row>
    <row r="34" spans="1:20" s="36" customFormat="1" ht="31.5" x14ac:dyDescent="0.25">
      <c r="A34" s="143" t="s">
        <v>417</v>
      </c>
      <c r="B34" s="258" t="s">
        <v>268</v>
      </c>
      <c r="C34" s="259" t="s">
        <v>269</v>
      </c>
      <c r="D34" s="260">
        <v>11734</v>
      </c>
      <c r="E34" s="261" t="s">
        <v>270</v>
      </c>
      <c r="F34" s="261">
        <v>600</v>
      </c>
      <c r="G34" s="263" t="s">
        <v>180</v>
      </c>
      <c r="H34" s="264">
        <v>7323</v>
      </c>
      <c r="I34" s="273">
        <v>4411</v>
      </c>
      <c r="J34" s="264">
        <v>20</v>
      </c>
      <c r="K34" s="266">
        <v>12</v>
      </c>
      <c r="L34" s="266" t="s">
        <v>180</v>
      </c>
      <c r="M34" s="264">
        <f t="shared" si="0"/>
        <v>240</v>
      </c>
      <c r="N34" s="264">
        <f t="shared" si="1"/>
        <v>4171</v>
      </c>
      <c r="O34" s="138"/>
      <c r="P34" s="47"/>
      <c r="Q34" s="124"/>
      <c r="R34" s="49"/>
      <c r="T34" s="51"/>
    </row>
    <row r="35" spans="1:20" s="36" customFormat="1" ht="15.75" x14ac:dyDescent="0.25">
      <c r="A35" s="143" t="s">
        <v>417</v>
      </c>
      <c r="B35" s="258" t="s">
        <v>391</v>
      </c>
      <c r="C35" s="267" t="s">
        <v>387</v>
      </c>
      <c r="D35" s="265">
        <v>717966</v>
      </c>
      <c r="E35" s="261" t="s">
        <v>394</v>
      </c>
      <c r="F35" s="261">
        <v>180</v>
      </c>
      <c r="G35" s="261" t="s">
        <v>180</v>
      </c>
      <c r="H35" s="268">
        <v>325757</v>
      </c>
      <c r="I35" s="260">
        <v>392209</v>
      </c>
      <c r="J35" s="268">
        <v>4021</v>
      </c>
      <c r="K35" s="266">
        <v>12</v>
      </c>
      <c r="L35" s="266" t="s">
        <v>180</v>
      </c>
      <c r="M35" s="268">
        <f t="shared" si="0"/>
        <v>48252</v>
      </c>
      <c r="N35" s="268">
        <f t="shared" si="1"/>
        <v>343957</v>
      </c>
      <c r="O35" s="139"/>
      <c r="P35" s="47">
        <v>143120162</v>
      </c>
      <c r="Q35" s="124"/>
      <c r="R35" s="49"/>
      <c r="T35" s="51"/>
    </row>
    <row r="36" spans="1:20" s="36" customFormat="1" ht="15.75" x14ac:dyDescent="0.25">
      <c r="A36" s="143" t="s">
        <v>417</v>
      </c>
      <c r="B36" s="258" t="s">
        <v>390</v>
      </c>
      <c r="C36" s="267" t="s">
        <v>386</v>
      </c>
      <c r="D36" s="265">
        <v>1627956</v>
      </c>
      <c r="E36" s="261" t="s">
        <v>393</v>
      </c>
      <c r="F36" s="261">
        <v>180</v>
      </c>
      <c r="G36" s="261" t="s">
        <v>180</v>
      </c>
      <c r="H36" s="268">
        <v>656328</v>
      </c>
      <c r="I36" s="260">
        <v>971628</v>
      </c>
      <c r="J36" s="268">
        <v>9117</v>
      </c>
      <c r="K36" s="266">
        <v>12</v>
      </c>
      <c r="L36" s="266" t="s">
        <v>180</v>
      </c>
      <c r="M36" s="268">
        <f t="shared" si="0"/>
        <v>109404</v>
      </c>
      <c r="N36" s="268">
        <f t="shared" si="1"/>
        <v>862224</v>
      </c>
      <c r="O36" s="139"/>
      <c r="P36" s="47" t="s">
        <v>389</v>
      </c>
      <c r="Q36" s="124"/>
      <c r="R36" s="49"/>
      <c r="T36" s="51"/>
    </row>
    <row r="37" spans="1:20" s="36" customFormat="1" ht="15.75" x14ac:dyDescent="0.25">
      <c r="A37" s="143" t="s">
        <v>401</v>
      </c>
      <c r="B37" s="258" t="s">
        <v>274</v>
      </c>
      <c r="C37" s="267" t="s">
        <v>275</v>
      </c>
      <c r="D37" s="265">
        <f>98321</f>
        <v>98321</v>
      </c>
      <c r="E37" s="261" t="s">
        <v>276</v>
      </c>
      <c r="F37" s="269">
        <v>120</v>
      </c>
      <c r="G37" s="263">
        <f>10*12</f>
        <v>120</v>
      </c>
      <c r="H37" s="268">
        <v>52206</v>
      </c>
      <c r="I37" s="260">
        <v>46115</v>
      </c>
      <c r="J37" s="268">
        <v>816</v>
      </c>
      <c r="K37" s="266">
        <v>12</v>
      </c>
      <c r="L37" s="264">
        <f t="shared" ref="L37:L43" si="2">D37/G37</f>
        <v>819.3416666666667</v>
      </c>
      <c r="M37" s="268">
        <f t="shared" si="0"/>
        <v>9792</v>
      </c>
      <c r="N37" s="268">
        <f t="shared" si="1"/>
        <v>36323</v>
      </c>
      <c r="O37" s="139"/>
      <c r="P37" s="47"/>
      <c r="Q37" s="124"/>
      <c r="R37" s="49"/>
      <c r="T37" s="51"/>
    </row>
    <row r="38" spans="1:20" s="36" customFormat="1" ht="15.75" x14ac:dyDescent="0.25">
      <c r="A38" s="143" t="s">
        <v>401</v>
      </c>
      <c r="B38" s="275" t="s">
        <v>297</v>
      </c>
      <c r="C38" s="276" t="s">
        <v>296</v>
      </c>
      <c r="D38" s="277">
        <v>91525</v>
      </c>
      <c r="E38" s="275" t="s">
        <v>293</v>
      </c>
      <c r="F38" s="278">
        <v>60</v>
      </c>
      <c r="G38" s="263">
        <f>5*12</f>
        <v>60</v>
      </c>
      <c r="H38" s="264">
        <v>39728</v>
      </c>
      <c r="I38" s="264">
        <v>51797</v>
      </c>
      <c r="J38" s="264">
        <v>1528</v>
      </c>
      <c r="K38" s="266">
        <v>12</v>
      </c>
      <c r="L38" s="264">
        <f t="shared" si="2"/>
        <v>1525.4166666666667</v>
      </c>
      <c r="M38" s="264">
        <f t="shared" si="0"/>
        <v>18336</v>
      </c>
      <c r="N38" s="264">
        <f t="shared" si="1"/>
        <v>33461</v>
      </c>
      <c r="O38" s="138"/>
      <c r="P38" s="47"/>
      <c r="Q38" s="124"/>
      <c r="R38" s="49"/>
      <c r="T38" s="51"/>
    </row>
    <row r="39" spans="1:20" s="36" customFormat="1" ht="15.75" x14ac:dyDescent="0.25">
      <c r="A39" s="143" t="s">
        <v>401</v>
      </c>
      <c r="B39" s="275" t="s">
        <v>292</v>
      </c>
      <c r="C39" s="276" t="s">
        <v>291</v>
      </c>
      <c r="D39" s="277">
        <v>1029661</v>
      </c>
      <c r="E39" s="275" t="s">
        <v>293</v>
      </c>
      <c r="F39" s="278">
        <v>60</v>
      </c>
      <c r="G39" s="263">
        <f>5*12</f>
        <v>60</v>
      </c>
      <c r="H39" s="264">
        <v>447070</v>
      </c>
      <c r="I39" s="264">
        <v>582591</v>
      </c>
      <c r="J39" s="264">
        <v>17195</v>
      </c>
      <c r="K39" s="266">
        <v>12</v>
      </c>
      <c r="L39" s="264">
        <f t="shared" si="2"/>
        <v>17161.016666666666</v>
      </c>
      <c r="M39" s="264">
        <f t="shared" si="0"/>
        <v>206340</v>
      </c>
      <c r="N39" s="264">
        <f t="shared" si="1"/>
        <v>376251</v>
      </c>
      <c r="O39" s="138"/>
      <c r="P39" s="47"/>
      <c r="Q39" s="124"/>
      <c r="R39" s="49"/>
      <c r="T39" s="51"/>
    </row>
    <row r="40" spans="1:20" s="36" customFormat="1" ht="15.75" x14ac:dyDescent="0.25">
      <c r="A40" s="143" t="s">
        <v>401</v>
      </c>
      <c r="B40" s="275" t="s">
        <v>299</v>
      </c>
      <c r="C40" s="276" t="s">
        <v>298</v>
      </c>
      <c r="D40" s="277">
        <v>133898</v>
      </c>
      <c r="E40" s="275" t="s">
        <v>293</v>
      </c>
      <c r="F40" s="278">
        <v>60</v>
      </c>
      <c r="G40" s="263">
        <f>5*12</f>
        <v>60</v>
      </c>
      <c r="H40" s="264">
        <v>58136</v>
      </c>
      <c r="I40" s="264">
        <v>75762</v>
      </c>
      <c r="J40" s="264">
        <v>2236</v>
      </c>
      <c r="K40" s="266">
        <v>12</v>
      </c>
      <c r="L40" s="264">
        <f t="shared" si="2"/>
        <v>2231.6333333333332</v>
      </c>
      <c r="M40" s="264">
        <f t="shared" si="0"/>
        <v>26832</v>
      </c>
      <c r="N40" s="264">
        <f t="shared" si="1"/>
        <v>48930</v>
      </c>
      <c r="O40" s="138"/>
      <c r="P40" s="47"/>
      <c r="Q40" s="124"/>
      <c r="R40" s="49"/>
      <c r="T40" s="51"/>
    </row>
    <row r="41" spans="1:20" s="36" customFormat="1" ht="31.5" x14ac:dyDescent="0.25">
      <c r="A41" s="143" t="s">
        <v>401</v>
      </c>
      <c r="B41" s="275" t="s">
        <v>301</v>
      </c>
      <c r="C41" s="276" t="s">
        <v>300</v>
      </c>
      <c r="D41" s="277">
        <v>129251</v>
      </c>
      <c r="E41" s="275" t="s">
        <v>293</v>
      </c>
      <c r="F41" s="278">
        <v>60</v>
      </c>
      <c r="G41" s="263">
        <f>5*12</f>
        <v>60</v>
      </c>
      <c r="H41" s="264">
        <v>56108</v>
      </c>
      <c r="I41" s="264">
        <v>73143</v>
      </c>
      <c r="J41" s="264">
        <v>2158</v>
      </c>
      <c r="K41" s="266">
        <v>12</v>
      </c>
      <c r="L41" s="264">
        <f t="shared" si="2"/>
        <v>2154.1833333333334</v>
      </c>
      <c r="M41" s="264">
        <f t="shared" si="0"/>
        <v>25896</v>
      </c>
      <c r="N41" s="264">
        <f t="shared" si="1"/>
        <v>47247</v>
      </c>
      <c r="O41" s="138"/>
      <c r="P41" s="47" t="s">
        <v>389</v>
      </c>
      <c r="Q41" s="124"/>
      <c r="R41" s="49"/>
      <c r="T41" s="51"/>
    </row>
    <row r="42" spans="1:20" s="36" customFormat="1" ht="15.75" x14ac:dyDescent="0.25">
      <c r="A42" s="143" t="s">
        <v>401</v>
      </c>
      <c r="B42" s="275" t="s">
        <v>295</v>
      </c>
      <c r="C42" s="276" t="s">
        <v>294</v>
      </c>
      <c r="D42" s="277">
        <v>217712</v>
      </c>
      <c r="E42" s="275" t="s">
        <v>293</v>
      </c>
      <c r="F42" s="278">
        <v>60</v>
      </c>
      <c r="G42" s="263">
        <f>5*12</f>
        <v>60</v>
      </c>
      <c r="H42" s="264">
        <v>94536</v>
      </c>
      <c r="I42" s="264">
        <v>123176</v>
      </c>
      <c r="J42" s="264">
        <v>3636</v>
      </c>
      <c r="K42" s="266">
        <v>12</v>
      </c>
      <c r="L42" s="264">
        <f t="shared" si="2"/>
        <v>3628.5333333333333</v>
      </c>
      <c r="M42" s="264">
        <f t="shared" si="0"/>
        <v>43632</v>
      </c>
      <c r="N42" s="264">
        <f t="shared" si="1"/>
        <v>79544</v>
      </c>
      <c r="O42" s="138"/>
      <c r="P42" s="47" t="s">
        <v>389</v>
      </c>
      <c r="Q42" s="124"/>
      <c r="R42" s="49"/>
      <c r="T42" s="51"/>
    </row>
    <row r="43" spans="1:20" s="128" customFormat="1" ht="31.5" x14ac:dyDescent="0.25">
      <c r="A43" s="143" t="s">
        <v>401</v>
      </c>
      <c r="B43" s="275" t="s">
        <v>280</v>
      </c>
      <c r="C43" s="276" t="s">
        <v>281</v>
      </c>
      <c r="D43" s="277">
        <f>398284</f>
        <v>398284</v>
      </c>
      <c r="E43" s="275" t="s">
        <v>282</v>
      </c>
      <c r="F43" s="278">
        <v>84</v>
      </c>
      <c r="G43" s="263">
        <f>7*12</f>
        <v>84</v>
      </c>
      <c r="H43" s="264">
        <v>364796</v>
      </c>
      <c r="I43" s="264">
        <v>33488</v>
      </c>
      <c r="J43" s="264">
        <v>4740</v>
      </c>
      <c r="K43" s="289">
        <v>7.0649789029535865</v>
      </c>
      <c r="L43" s="264">
        <f t="shared" si="2"/>
        <v>4741.4761904761908</v>
      </c>
      <c r="M43" s="264">
        <f>J43*K43</f>
        <v>33488</v>
      </c>
      <c r="N43" s="264">
        <f t="shared" si="1"/>
        <v>0</v>
      </c>
      <c r="O43" s="138"/>
      <c r="P43" s="125"/>
      <c r="Q43" s="126"/>
      <c r="R43" s="127">
        <f>33488/J43</f>
        <v>7.0649789029535865</v>
      </c>
      <c r="T43" s="129"/>
    </row>
    <row r="44" spans="1:20" ht="15.75" x14ac:dyDescent="0.25">
      <c r="A44" s="36"/>
      <c r="B44" s="263"/>
      <c r="C44" s="279" t="s">
        <v>286</v>
      </c>
      <c r="D44" s="280">
        <f>SUM(D5:D43)</f>
        <v>16137096</v>
      </c>
      <c r="E44" s="281"/>
      <c r="F44" s="281"/>
      <c r="G44" s="281"/>
      <c r="H44" s="280">
        <f>SUM(H5:H43)</f>
        <v>9935728</v>
      </c>
      <c r="I44" s="290">
        <f>SUM(I5:I43)</f>
        <v>6201368</v>
      </c>
      <c r="J44" s="290">
        <f>SUM(J5:J43)</f>
        <v>63147</v>
      </c>
      <c r="K44" s="281"/>
      <c r="L44" s="281">
        <f>SUM(L5:L21)</f>
        <v>0</v>
      </c>
      <c r="M44" s="290">
        <f>SUM(M5:M43)</f>
        <v>734221</v>
      </c>
      <c r="N44" s="283"/>
      <c r="O44" s="131" t="s">
        <v>418</v>
      </c>
      <c r="P44" s="110">
        <f>SUMIFS(M5:M43,A5:A43,O44)</f>
        <v>138648</v>
      </c>
      <c r="Q44" s="118">
        <f>P44*$E$50/100</f>
        <v>35143.066784585346</v>
      </c>
    </row>
    <row r="45" spans="1:20" ht="15.75" x14ac:dyDescent="0.25">
      <c r="A45" s="36"/>
      <c r="B45" s="339" t="s">
        <v>307</v>
      </c>
      <c r="C45" s="339"/>
      <c r="D45" s="284"/>
      <c r="E45" s="285"/>
      <c r="F45" s="285"/>
      <c r="G45" s="285"/>
      <c r="H45" s="286" t="s">
        <v>180</v>
      </c>
      <c r="I45" s="284">
        <f>I44*E50/100</f>
        <v>1571858.8784532805</v>
      </c>
      <c r="J45" s="284">
        <f>J44*E50/100</f>
        <v>16005.851063457178</v>
      </c>
      <c r="K45" s="285"/>
      <c r="L45" s="284">
        <f>L44*0.357</f>
        <v>0</v>
      </c>
      <c r="M45" s="284">
        <f>M44*E50/100</f>
        <v>186102.77564512315</v>
      </c>
      <c r="N45" s="287"/>
      <c r="O45" s="131" t="s">
        <v>417</v>
      </c>
      <c r="P45" s="110">
        <f>SUMIFS(M5:M43,A5:A43,O45)</f>
        <v>226493</v>
      </c>
      <c r="Q45" s="118">
        <f t="shared" ref="Q45:Q47" si="3">P45*$E$50/100</f>
        <v>57409.112466397557</v>
      </c>
    </row>
    <row r="46" spans="1:20" x14ac:dyDescent="0.25">
      <c r="B46" s="61"/>
      <c r="C46" s="61"/>
      <c r="D46" s="62"/>
      <c r="E46" s="63"/>
      <c r="F46" s="63"/>
      <c r="G46" s="63"/>
      <c r="H46" s="62"/>
      <c r="I46" s="62"/>
      <c r="J46" s="62"/>
      <c r="K46" s="63"/>
      <c r="L46" s="62"/>
      <c r="M46" s="57"/>
      <c r="N46" s="57"/>
      <c r="O46" s="131" t="s">
        <v>419</v>
      </c>
      <c r="P46" s="110">
        <f>SUMIFS(M5:M43,A5:A43,O46)</f>
        <v>4764</v>
      </c>
      <c r="Q46" s="118">
        <f t="shared" si="3"/>
        <v>1207.5296445802651</v>
      </c>
    </row>
    <row r="47" spans="1:20" ht="15" customHeight="1" x14ac:dyDescent="0.25">
      <c r="B47" s="308" t="s">
        <v>320</v>
      </c>
      <c r="C47" s="308"/>
      <c r="D47" s="308"/>
      <c r="E47"/>
      <c r="F47" s="63"/>
      <c r="G47" s="63"/>
      <c r="H47" s="340" t="s">
        <v>422</v>
      </c>
      <c r="I47" s="340"/>
      <c r="J47" s="340"/>
      <c r="K47" s="63"/>
      <c r="L47" s="62"/>
      <c r="M47" s="57"/>
      <c r="N47" s="57"/>
      <c r="O47" s="131" t="s">
        <v>401</v>
      </c>
      <c r="P47" s="110">
        <f>SUMIFS(M5:M43,A5:A43,O47)</f>
        <v>364316</v>
      </c>
      <c r="Q47" s="118">
        <f t="shared" si="3"/>
        <v>92343.066749559992</v>
      </c>
    </row>
    <row r="48" spans="1:20" ht="60" x14ac:dyDescent="0.25">
      <c r="B48" s="56"/>
      <c r="C48" s="9"/>
      <c r="D48" s="111" t="s">
        <v>420</v>
      </c>
      <c r="E48" s="111" t="s">
        <v>441</v>
      </c>
      <c r="F48" s="63"/>
      <c r="G48" s="62"/>
      <c r="H48" s="141"/>
      <c r="I48" s="142" t="s">
        <v>423</v>
      </c>
      <c r="J48" s="142" t="s">
        <v>459</v>
      </c>
      <c r="K48" s="62"/>
      <c r="L48" s="57"/>
      <c r="M48" s="57"/>
    </row>
    <row r="49" spans="2:15" ht="30" x14ac:dyDescent="0.25">
      <c r="B49" s="56">
        <v>1</v>
      </c>
      <c r="C49" s="109" t="s">
        <v>323</v>
      </c>
      <c r="D49" s="56">
        <v>85256</v>
      </c>
      <c r="E49" s="134">
        <f>E51-E50</f>
        <v>74.653030130556985</v>
      </c>
      <c r="F49" s="63"/>
      <c r="G49" s="62"/>
      <c r="H49" s="143" t="s">
        <v>418</v>
      </c>
      <c r="I49" s="110">
        <f>SUMIFS(M5:M43,A5:A43,O44)</f>
        <v>138648</v>
      </c>
      <c r="J49" s="118">
        <f>I49*$E$50/100</f>
        <v>35143.066784585346</v>
      </c>
      <c r="K49" s="62"/>
      <c r="L49" s="57"/>
      <c r="M49" s="57"/>
    </row>
    <row r="50" spans="2:15" ht="30" x14ac:dyDescent="0.25">
      <c r="B50" s="56">
        <v>2</v>
      </c>
      <c r="C50" s="109" t="s">
        <v>324</v>
      </c>
      <c r="D50" s="56">
        <v>28947</v>
      </c>
      <c r="E50" s="134">
        <f>E51/D51*D50</f>
        <v>25.346969869443011</v>
      </c>
      <c r="F50" s="63"/>
      <c r="G50" s="62"/>
      <c r="H50" s="143" t="s">
        <v>417</v>
      </c>
      <c r="I50" s="110">
        <f>SUMIFS(M5:M43,A5:A43,O45)</f>
        <v>226493</v>
      </c>
      <c r="J50" s="118">
        <f t="shared" ref="J50:J52" si="4">I50*$E$50/100</f>
        <v>57409.112466397557</v>
      </c>
      <c r="K50" s="62"/>
      <c r="L50" s="57"/>
      <c r="M50" s="57"/>
    </row>
    <row r="51" spans="2:15" x14ac:dyDescent="0.25">
      <c r="B51" s="56">
        <v>3</v>
      </c>
      <c r="C51" s="112" t="s">
        <v>325</v>
      </c>
      <c r="D51" s="135">
        <v>114203</v>
      </c>
      <c r="E51" s="133">
        <v>100</v>
      </c>
      <c r="F51" s="63"/>
      <c r="G51" s="62"/>
      <c r="H51" s="143" t="s">
        <v>419</v>
      </c>
      <c r="I51" s="110">
        <f>SUMIFS(M5:M43,A5:A43,O46)</f>
        <v>4764</v>
      </c>
      <c r="J51" s="118">
        <f t="shared" si="4"/>
        <v>1207.5296445802651</v>
      </c>
      <c r="K51" s="62"/>
      <c r="L51" s="57"/>
      <c r="M51" s="57"/>
    </row>
    <row r="52" spans="2:15" x14ac:dyDescent="0.25">
      <c r="B52" s="61"/>
      <c r="C52" s="61"/>
      <c r="D52" s="62"/>
      <c r="E52" s="63"/>
      <c r="F52" s="63"/>
      <c r="G52" s="63"/>
      <c r="H52" s="143" t="s">
        <v>401</v>
      </c>
      <c r="I52" s="110">
        <f>SUMIFS(M5:M43,A5:A43,O47)</f>
        <v>364316</v>
      </c>
      <c r="J52" s="118">
        <f t="shared" si="4"/>
        <v>92343.066749559992</v>
      </c>
      <c r="K52" s="63"/>
      <c r="L52" s="62"/>
      <c r="M52" s="57"/>
      <c r="N52" s="57"/>
      <c r="O52" s="57"/>
    </row>
    <row r="53" spans="2:15" x14ac:dyDescent="0.25">
      <c r="B53" s="61"/>
      <c r="C53" s="61"/>
      <c r="D53" s="62"/>
      <c r="E53" s="63"/>
      <c r="F53" s="63"/>
      <c r="G53" s="63"/>
      <c r="H53" s="144"/>
      <c r="I53" s="145"/>
      <c r="J53" s="146"/>
      <c r="K53" s="63"/>
      <c r="L53" s="62"/>
      <c r="M53" s="57"/>
      <c r="N53" s="57"/>
      <c r="O53" s="57"/>
    </row>
    <row r="54" spans="2:15" x14ac:dyDescent="0.25">
      <c r="B54" s="53" t="s">
        <v>287</v>
      </c>
      <c r="H54" s="62"/>
      <c r="I54" s="62"/>
      <c r="J54" s="62"/>
      <c r="L54"/>
      <c r="M54"/>
    </row>
    <row r="55" spans="2:15" x14ac:dyDescent="0.25">
      <c r="L55"/>
      <c r="M55"/>
    </row>
    <row r="56" spans="2:15" x14ac:dyDescent="0.25">
      <c r="C56" s="38" t="s">
        <v>173</v>
      </c>
      <c r="D56" s="20"/>
      <c r="E56" s="20"/>
      <c r="F56" s="17"/>
    </row>
    <row r="57" spans="2:15" x14ac:dyDescent="0.25">
      <c r="C57" s="39" t="s">
        <v>175</v>
      </c>
      <c r="D57" s="21"/>
      <c r="E57" s="21"/>
      <c r="F57" s="14" t="s">
        <v>177</v>
      </c>
      <c r="H57" s="19" t="s">
        <v>174</v>
      </c>
    </row>
    <row r="58" spans="2:15" x14ac:dyDescent="0.25">
      <c r="H58" s="18" t="s">
        <v>176</v>
      </c>
    </row>
    <row r="59" spans="2:15" x14ac:dyDescent="0.25">
      <c r="C59" s="13" t="s">
        <v>196</v>
      </c>
    </row>
    <row r="61" spans="2:15" x14ac:dyDescent="0.25">
      <c r="J61" s="35" t="e">
        <f>#REF!+J19</f>
        <v>#REF!</v>
      </c>
      <c r="L61" s="13">
        <f>J45*12</f>
        <v>192070.21276148612</v>
      </c>
    </row>
    <row r="62" spans="2:15" x14ac:dyDescent="0.25">
      <c r="J62" s="13" t="e">
        <f>J61*12</f>
        <v>#REF!</v>
      </c>
    </row>
    <row r="63" spans="2:15" x14ac:dyDescent="0.25">
      <c r="J63" s="13" t="e">
        <f>J62*0.357/1000</f>
        <v>#REF!</v>
      </c>
    </row>
    <row r="65" spans="2:13" x14ac:dyDescent="0.25">
      <c r="M65" s="13">
        <v>230333</v>
      </c>
    </row>
    <row r="66" spans="2:13" ht="15.75" x14ac:dyDescent="0.25">
      <c r="J66" s="35">
        <f>SUM(J10:J18)</f>
        <v>2143</v>
      </c>
      <c r="M66" s="120">
        <f>M65*0.357</f>
        <v>82228.880999999994</v>
      </c>
    </row>
    <row r="67" spans="2:13" x14ac:dyDescent="0.25">
      <c r="J67" s="13">
        <f>J66*12</f>
        <v>25716</v>
      </c>
    </row>
    <row r="68" spans="2:13" x14ac:dyDescent="0.25">
      <c r="J68" s="13">
        <f>J67*0.357</f>
        <v>9180.6119999999992</v>
      </c>
    </row>
    <row r="70" spans="2:13" x14ac:dyDescent="0.25">
      <c r="J70" s="35">
        <f>SUM(J20:J21)+SUM(J5:J9)</f>
        <v>6163</v>
      </c>
    </row>
    <row r="71" spans="2:13" x14ac:dyDescent="0.25">
      <c r="J71" s="13">
        <f>J70*12</f>
        <v>73956</v>
      </c>
    </row>
    <row r="72" spans="2:13" x14ac:dyDescent="0.25">
      <c r="J72" s="13">
        <f>J71*0.357</f>
        <v>26402.291999999998</v>
      </c>
    </row>
    <row r="73" spans="2:13" x14ac:dyDescent="0.25">
      <c r="B73" s="13" t="s">
        <v>358</v>
      </c>
    </row>
    <row r="74" spans="2:13" x14ac:dyDescent="0.25">
      <c r="B74" s="13" t="s">
        <v>360</v>
      </c>
    </row>
    <row r="75" spans="2:13" x14ac:dyDescent="0.25">
      <c r="B75" s="13" t="s">
        <v>369</v>
      </c>
    </row>
  </sheetData>
  <autoFilter ref="B4:N4">
    <sortState ref="B5:N47">
      <sortCondition ref="B4"/>
    </sortState>
  </autoFilter>
  <mergeCells count="4">
    <mergeCell ref="B45:C45"/>
    <mergeCell ref="B47:D47"/>
    <mergeCell ref="B1:N1"/>
    <mergeCell ref="H47:J47"/>
  </mergeCells>
  <conditionalFormatting sqref="P20:P43">
    <cfRule type="duplicateValues" dxfId="0" priority="5" stopIfTrue="1"/>
  </conditionalFormatting>
  <printOptions horizontalCentered="1" verticalCentered="1"/>
  <pageMargins left="0.31496062992125984" right="0.31496062992125984" top="0.74803149606299213" bottom="0.19685039370078741" header="0.31496062992125984" footer="0.31496062992125984"/>
  <pageSetup paperSize="9" scale="4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55"/>
  <sheetViews>
    <sheetView view="pageBreakPreview" zoomScale="40" zoomScaleNormal="85" zoomScaleSheetLayoutView="40" workbookViewId="0">
      <selection activeCell="C31" sqref="C31"/>
    </sheetView>
  </sheetViews>
  <sheetFormatPr defaultRowHeight="15" x14ac:dyDescent="0.25"/>
  <cols>
    <col min="1" max="1" width="12.85546875" style="13" customWidth="1"/>
    <col min="2" max="2" width="45.140625" style="13" customWidth="1"/>
    <col min="3" max="3" width="15.140625" style="13" customWidth="1"/>
    <col min="4" max="4" width="11.140625" style="13" customWidth="1"/>
    <col min="5" max="5" width="11" style="13" customWidth="1"/>
    <col min="6" max="6" width="12" style="13" customWidth="1"/>
    <col min="7" max="7" width="11.42578125" style="13" customWidth="1"/>
    <col min="8" max="8" width="11.85546875" style="13" customWidth="1"/>
    <col min="9" max="9" width="12.5703125" style="13" customWidth="1"/>
    <col min="10" max="10" width="12.28515625" style="13" customWidth="1"/>
    <col min="11" max="11" width="11.85546875" style="13" customWidth="1"/>
    <col min="12" max="12" width="11.42578125" style="13" customWidth="1"/>
    <col min="13" max="14" width="11.7109375" style="13" customWidth="1"/>
    <col min="15" max="15" width="12" style="13" customWidth="1"/>
    <col min="16" max="16" width="12.140625" style="13" customWidth="1"/>
    <col min="17" max="17" width="13.7109375" style="5" customWidth="1"/>
    <col min="18" max="18" width="16.85546875" style="5" customWidth="1"/>
    <col min="19" max="19" width="15.28515625" style="13" customWidth="1"/>
    <col min="20" max="16384" width="9.140625" style="13"/>
  </cols>
  <sheetData>
    <row r="1" spans="1:19" ht="18.75" x14ac:dyDescent="0.25">
      <c r="A1" s="341" t="s">
        <v>335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1"/>
      <c r="N1" s="341"/>
      <c r="O1" s="341"/>
      <c r="P1" s="341"/>
      <c r="Q1" s="341"/>
      <c r="R1" s="341"/>
    </row>
    <row r="3" spans="1:19" ht="63.75" x14ac:dyDescent="0.25">
      <c r="A3" s="54" t="s">
        <v>239</v>
      </c>
      <c r="B3" s="55" t="s">
        <v>240</v>
      </c>
      <c r="C3" s="54" t="s">
        <v>402</v>
      </c>
      <c r="D3" s="54" t="s">
        <v>288</v>
      </c>
      <c r="E3" s="54" t="s">
        <v>403</v>
      </c>
      <c r="F3" s="54" t="s">
        <v>404</v>
      </c>
      <c r="G3" s="54" t="s">
        <v>405</v>
      </c>
      <c r="H3" s="54" t="s">
        <v>406</v>
      </c>
      <c r="I3" s="54" t="s">
        <v>407</v>
      </c>
      <c r="J3" s="54" t="s">
        <v>408</v>
      </c>
      <c r="K3" s="54" t="s">
        <v>409</v>
      </c>
      <c r="L3" s="54" t="s">
        <v>410</v>
      </c>
      <c r="M3" s="54" t="s">
        <v>411</v>
      </c>
      <c r="N3" s="54" t="s">
        <v>413</v>
      </c>
      <c r="O3" s="54" t="s">
        <v>412</v>
      </c>
      <c r="P3" s="54" t="s">
        <v>414</v>
      </c>
      <c r="Q3" s="147" t="s">
        <v>289</v>
      </c>
      <c r="R3" s="148" t="s">
        <v>415</v>
      </c>
      <c r="S3" s="46" t="s">
        <v>60</v>
      </c>
    </row>
    <row r="4" spans="1:19" x14ac:dyDescent="0.25">
      <c r="A4" s="291" t="s">
        <v>292</v>
      </c>
      <c r="B4" s="292" t="s">
        <v>291</v>
      </c>
      <c r="C4" s="293">
        <v>582591</v>
      </c>
      <c r="D4" s="293">
        <v>17195</v>
      </c>
      <c r="E4" s="294">
        <f>C4-D4</f>
        <v>565396</v>
      </c>
      <c r="F4" s="293">
        <f t="shared" ref="F4:F22" si="0">E4-$D4</f>
        <v>548201</v>
      </c>
      <c r="G4" s="293">
        <f t="shared" ref="G4:P4" si="1">F4-$D4</f>
        <v>531006</v>
      </c>
      <c r="H4" s="293">
        <f t="shared" si="1"/>
        <v>513811</v>
      </c>
      <c r="I4" s="293">
        <f t="shared" si="1"/>
        <v>496616</v>
      </c>
      <c r="J4" s="293">
        <f t="shared" si="1"/>
        <v>479421</v>
      </c>
      <c r="K4" s="293">
        <f t="shared" si="1"/>
        <v>462226</v>
      </c>
      <c r="L4" s="293">
        <f t="shared" si="1"/>
        <v>445031</v>
      </c>
      <c r="M4" s="293">
        <f t="shared" si="1"/>
        <v>427836</v>
      </c>
      <c r="N4" s="293">
        <f t="shared" si="1"/>
        <v>410641</v>
      </c>
      <c r="O4" s="293">
        <f t="shared" si="1"/>
        <v>393446</v>
      </c>
      <c r="P4" s="293">
        <f t="shared" si="1"/>
        <v>376251</v>
      </c>
      <c r="Q4" s="295">
        <f t="shared" ref="Q4:Q8" si="2">(SUM(E4:P4)+C4)/13</f>
        <v>479421</v>
      </c>
      <c r="R4" s="296">
        <f t="shared" ref="R4:R8" si="3">Q4*0.022</f>
        <v>10547.261999999999</v>
      </c>
      <c r="S4" s="342" t="s">
        <v>290</v>
      </c>
    </row>
    <row r="5" spans="1:19" x14ac:dyDescent="0.25">
      <c r="A5" s="291" t="s">
        <v>295</v>
      </c>
      <c r="B5" s="292" t="s">
        <v>294</v>
      </c>
      <c r="C5" s="293">
        <v>123176</v>
      </c>
      <c r="D5" s="293">
        <v>3636</v>
      </c>
      <c r="E5" s="294">
        <f t="shared" ref="E5:E8" si="4">C5-D5</f>
        <v>119540</v>
      </c>
      <c r="F5" s="293">
        <f t="shared" si="0"/>
        <v>115904</v>
      </c>
      <c r="G5" s="293">
        <f t="shared" ref="G5:P5" si="5">F5-$D5</f>
        <v>112268</v>
      </c>
      <c r="H5" s="293">
        <f t="shared" si="5"/>
        <v>108632</v>
      </c>
      <c r="I5" s="293">
        <f t="shared" si="5"/>
        <v>104996</v>
      </c>
      <c r="J5" s="293">
        <f t="shared" si="5"/>
        <v>101360</v>
      </c>
      <c r="K5" s="293">
        <f t="shared" si="5"/>
        <v>97724</v>
      </c>
      <c r="L5" s="293">
        <f t="shared" si="5"/>
        <v>94088</v>
      </c>
      <c r="M5" s="293">
        <f t="shared" si="5"/>
        <v>90452</v>
      </c>
      <c r="N5" s="293">
        <f t="shared" si="5"/>
        <v>86816</v>
      </c>
      <c r="O5" s="293">
        <f t="shared" si="5"/>
        <v>83180</v>
      </c>
      <c r="P5" s="293">
        <f t="shared" si="5"/>
        <v>79544</v>
      </c>
      <c r="Q5" s="295">
        <f t="shared" si="2"/>
        <v>101360</v>
      </c>
      <c r="R5" s="296">
        <f t="shared" si="3"/>
        <v>2229.92</v>
      </c>
      <c r="S5" s="342"/>
    </row>
    <row r="6" spans="1:19" x14ac:dyDescent="0.25">
      <c r="A6" s="291" t="s">
        <v>297</v>
      </c>
      <c r="B6" s="292" t="s">
        <v>296</v>
      </c>
      <c r="C6" s="293">
        <v>51797</v>
      </c>
      <c r="D6" s="293">
        <v>1528</v>
      </c>
      <c r="E6" s="294">
        <f t="shared" si="4"/>
        <v>50269</v>
      </c>
      <c r="F6" s="293">
        <f t="shared" si="0"/>
        <v>48741</v>
      </c>
      <c r="G6" s="293">
        <f t="shared" ref="G6:P6" si="6">F6-$D6</f>
        <v>47213</v>
      </c>
      <c r="H6" s="293">
        <f t="shared" si="6"/>
        <v>45685</v>
      </c>
      <c r="I6" s="293">
        <f t="shared" si="6"/>
        <v>44157</v>
      </c>
      <c r="J6" s="293">
        <f t="shared" si="6"/>
        <v>42629</v>
      </c>
      <c r="K6" s="293">
        <f t="shared" si="6"/>
        <v>41101</v>
      </c>
      <c r="L6" s="293">
        <f t="shared" si="6"/>
        <v>39573</v>
      </c>
      <c r="M6" s="293">
        <f t="shared" si="6"/>
        <v>38045</v>
      </c>
      <c r="N6" s="293">
        <f t="shared" si="6"/>
        <v>36517</v>
      </c>
      <c r="O6" s="293">
        <f t="shared" si="6"/>
        <v>34989</v>
      </c>
      <c r="P6" s="293">
        <f t="shared" si="6"/>
        <v>33461</v>
      </c>
      <c r="Q6" s="295">
        <f t="shared" si="2"/>
        <v>42629</v>
      </c>
      <c r="R6" s="296">
        <f t="shared" si="3"/>
        <v>937.83799999999997</v>
      </c>
      <c r="S6" s="342"/>
    </row>
    <row r="7" spans="1:19" x14ac:dyDescent="0.25">
      <c r="A7" s="291" t="s">
        <v>299</v>
      </c>
      <c r="B7" s="292" t="s">
        <v>298</v>
      </c>
      <c r="C7" s="293">
        <v>75762</v>
      </c>
      <c r="D7" s="293">
        <v>2236</v>
      </c>
      <c r="E7" s="294">
        <f t="shared" si="4"/>
        <v>73526</v>
      </c>
      <c r="F7" s="293">
        <f t="shared" si="0"/>
        <v>71290</v>
      </c>
      <c r="G7" s="293">
        <f t="shared" ref="G7:P7" si="7">F7-$D7</f>
        <v>69054</v>
      </c>
      <c r="H7" s="293">
        <f t="shared" si="7"/>
        <v>66818</v>
      </c>
      <c r="I7" s="293">
        <f t="shared" si="7"/>
        <v>64582</v>
      </c>
      <c r="J7" s="293">
        <f t="shared" si="7"/>
        <v>62346</v>
      </c>
      <c r="K7" s="293">
        <f t="shared" si="7"/>
        <v>60110</v>
      </c>
      <c r="L7" s="293">
        <f t="shared" si="7"/>
        <v>57874</v>
      </c>
      <c r="M7" s="293">
        <f t="shared" si="7"/>
        <v>55638</v>
      </c>
      <c r="N7" s="293">
        <f t="shared" si="7"/>
        <v>53402</v>
      </c>
      <c r="O7" s="293">
        <f t="shared" si="7"/>
        <v>51166</v>
      </c>
      <c r="P7" s="293">
        <f t="shared" si="7"/>
        <v>48930</v>
      </c>
      <c r="Q7" s="295">
        <f t="shared" si="2"/>
        <v>62346</v>
      </c>
      <c r="R7" s="296">
        <f t="shared" si="3"/>
        <v>1371.6119999999999</v>
      </c>
      <c r="S7" s="342"/>
    </row>
    <row r="8" spans="1:19" ht="25.5" x14ac:dyDescent="0.25">
      <c r="A8" s="291" t="s">
        <v>301</v>
      </c>
      <c r="B8" s="292" t="s">
        <v>300</v>
      </c>
      <c r="C8" s="293">
        <v>73143</v>
      </c>
      <c r="D8" s="293">
        <v>2158</v>
      </c>
      <c r="E8" s="294">
        <f t="shared" si="4"/>
        <v>70985</v>
      </c>
      <c r="F8" s="293">
        <f t="shared" si="0"/>
        <v>68827</v>
      </c>
      <c r="G8" s="293">
        <f t="shared" ref="G8:P8" si="8">F8-$D8</f>
        <v>66669</v>
      </c>
      <c r="H8" s="293">
        <f t="shared" si="8"/>
        <v>64511</v>
      </c>
      <c r="I8" s="293">
        <f t="shared" si="8"/>
        <v>62353</v>
      </c>
      <c r="J8" s="293">
        <f t="shared" si="8"/>
        <v>60195</v>
      </c>
      <c r="K8" s="293">
        <f t="shared" si="8"/>
        <v>58037</v>
      </c>
      <c r="L8" s="293">
        <f t="shared" si="8"/>
        <v>55879</v>
      </c>
      <c r="M8" s="293">
        <f t="shared" si="8"/>
        <v>53721</v>
      </c>
      <c r="N8" s="293">
        <f t="shared" si="8"/>
        <v>51563</v>
      </c>
      <c r="O8" s="293">
        <f t="shared" si="8"/>
        <v>49405</v>
      </c>
      <c r="P8" s="293">
        <f t="shared" si="8"/>
        <v>47247</v>
      </c>
      <c r="Q8" s="295">
        <f t="shared" si="2"/>
        <v>60195</v>
      </c>
      <c r="R8" s="296">
        <f t="shared" si="3"/>
        <v>1324.29</v>
      </c>
      <c r="S8" s="342"/>
    </row>
    <row r="9" spans="1:19" ht="15" customHeight="1" x14ac:dyDescent="0.25">
      <c r="A9" s="291" t="s">
        <v>249</v>
      </c>
      <c r="B9" s="45" t="s">
        <v>250</v>
      </c>
      <c r="C9" s="293">
        <v>1021</v>
      </c>
      <c r="D9" s="294">
        <v>52</v>
      </c>
      <c r="E9" s="293">
        <f>C9-$D$9</f>
        <v>969</v>
      </c>
      <c r="F9" s="293">
        <f t="shared" si="0"/>
        <v>917</v>
      </c>
      <c r="G9" s="293">
        <f t="shared" ref="G9:P9" si="9">F9-$D9</f>
        <v>865</v>
      </c>
      <c r="H9" s="293">
        <f t="shared" si="9"/>
        <v>813</v>
      </c>
      <c r="I9" s="293">
        <f t="shared" si="9"/>
        <v>761</v>
      </c>
      <c r="J9" s="293">
        <f t="shared" si="9"/>
        <v>709</v>
      </c>
      <c r="K9" s="293">
        <f t="shared" si="9"/>
        <v>657</v>
      </c>
      <c r="L9" s="293">
        <f t="shared" si="9"/>
        <v>605</v>
      </c>
      <c r="M9" s="293">
        <f t="shared" si="9"/>
        <v>553</v>
      </c>
      <c r="N9" s="293">
        <f t="shared" si="9"/>
        <v>501</v>
      </c>
      <c r="O9" s="293">
        <f t="shared" si="9"/>
        <v>449</v>
      </c>
      <c r="P9" s="293">
        <f t="shared" si="9"/>
        <v>397</v>
      </c>
      <c r="Q9" s="295">
        <f>(SUM(E9:P9)+C9)/13</f>
        <v>709</v>
      </c>
      <c r="R9" s="295">
        <f>Q9*0.022</f>
        <v>15.597999999999999</v>
      </c>
      <c r="S9" s="342"/>
    </row>
    <row r="10" spans="1:19" x14ac:dyDescent="0.25">
      <c r="A10" s="291" t="s">
        <v>252</v>
      </c>
      <c r="B10" s="45" t="s">
        <v>250</v>
      </c>
      <c r="C10" s="293">
        <v>1021</v>
      </c>
      <c r="D10" s="294">
        <v>52</v>
      </c>
      <c r="E10" s="293">
        <f>C10-$D$10</f>
        <v>969</v>
      </c>
      <c r="F10" s="293">
        <f t="shared" si="0"/>
        <v>917</v>
      </c>
      <c r="G10" s="293">
        <f t="shared" ref="G10:P10" si="10">F10-$D10</f>
        <v>865</v>
      </c>
      <c r="H10" s="293">
        <f t="shared" si="10"/>
        <v>813</v>
      </c>
      <c r="I10" s="293">
        <f t="shared" si="10"/>
        <v>761</v>
      </c>
      <c r="J10" s="293">
        <f t="shared" si="10"/>
        <v>709</v>
      </c>
      <c r="K10" s="293">
        <f t="shared" si="10"/>
        <v>657</v>
      </c>
      <c r="L10" s="293">
        <f t="shared" si="10"/>
        <v>605</v>
      </c>
      <c r="M10" s="293">
        <f t="shared" si="10"/>
        <v>553</v>
      </c>
      <c r="N10" s="293">
        <f t="shared" si="10"/>
        <v>501</v>
      </c>
      <c r="O10" s="293">
        <f t="shared" si="10"/>
        <v>449</v>
      </c>
      <c r="P10" s="293">
        <f t="shared" si="10"/>
        <v>397</v>
      </c>
      <c r="Q10" s="295">
        <f t="shared" ref="Q10:Q21" si="11">(SUM(E10:P10)+C10)/13</f>
        <v>709</v>
      </c>
      <c r="R10" s="295">
        <f t="shared" ref="R10:R42" si="12">Q10*0.022</f>
        <v>15.597999999999999</v>
      </c>
      <c r="S10" s="342"/>
    </row>
    <row r="11" spans="1:19" x14ac:dyDescent="0.25">
      <c r="A11" s="291" t="s">
        <v>253</v>
      </c>
      <c r="B11" s="45" t="s">
        <v>250</v>
      </c>
      <c r="C11" s="293">
        <v>1021</v>
      </c>
      <c r="D11" s="294">
        <v>52</v>
      </c>
      <c r="E11" s="293">
        <f>C11-$D$11</f>
        <v>969</v>
      </c>
      <c r="F11" s="293">
        <f t="shared" si="0"/>
        <v>917</v>
      </c>
      <c r="G11" s="293">
        <f t="shared" ref="G11:P11" si="13">F11-$D11</f>
        <v>865</v>
      </c>
      <c r="H11" s="293">
        <f t="shared" si="13"/>
        <v>813</v>
      </c>
      <c r="I11" s="293">
        <f t="shared" si="13"/>
        <v>761</v>
      </c>
      <c r="J11" s="293">
        <f t="shared" si="13"/>
        <v>709</v>
      </c>
      <c r="K11" s="293">
        <f t="shared" si="13"/>
        <v>657</v>
      </c>
      <c r="L11" s="293">
        <f t="shared" si="13"/>
        <v>605</v>
      </c>
      <c r="M11" s="293">
        <f t="shared" si="13"/>
        <v>553</v>
      </c>
      <c r="N11" s="293">
        <f t="shared" si="13"/>
        <v>501</v>
      </c>
      <c r="O11" s="293">
        <f t="shared" si="13"/>
        <v>449</v>
      </c>
      <c r="P11" s="293">
        <f t="shared" si="13"/>
        <v>397</v>
      </c>
      <c r="Q11" s="295">
        <f t="shared" si="11"/>
        <v>709</v>
      </c>
      <c r="R11" s="295">
        <f t="shared" si="12"/>
        <v>15.597999999999999</v>
      </c>
      <c r="S11" s="342"/>
    </row>
    <row r="12" spans="1:19" x14ac:dyDescent="0.25">
      <c r="A12" s="291" t="s">
        <v>254</v>
      </c>
      <c r="B12" s="45" t="s">
        <v>250</v>
      </c>
      <c r="C12" s="293">
        <v>1021</v>
      </c>
      <c r="D12" s="294">
        <v>52</v>
      </c>
      <c r="E12" s="293">
        <f>C12-$D$12</f>
        <v>969</v>
      </c>
      <c r="F12" s="293">
        <f t="shared" si="0"/>
        <v>917</v>
      </c>
      <c r="G12" s="293">
        <f t="shared" ref="G12:P12" si="14">F12-$D12</f>
        <v>865</v>
      </c>
      <c r="H12" s="293">
        <f t="shared" si="14"/>
        <v>813</v>
      </c>
      <c r="I12" s="293">
        <f t="shared" si="14"/>
        <v>761</v>
      </c>
      <c r="J12" s="293">
        <f t="shared" si="14"/>
        <v>709</v>
      </c>
      <c r="K12" s="293">
        <f t="shared" si="14"/>
        <v>657</v>
      </c>
      <c r="L12" s="293">
        <f t="shared" si="14"/>
        <v>605</v>
      </c>
      <c r="M12" s="293">
        <f t="shared" si="14"/>
        <v>553</v>
      </c>
      <c r="N12" s="293">
        <f t="shared" si="14"/>
        <v>501</v>
      </c>
      <c r="O12" s="293">
        <f t="shared" si="14"/>
        <v>449</v>
      </c>
      <c r="P12" s="293">
        <f t="shared" si="14"/>
        <v>397</v>
      </c>
      <c r="Q12" s="295">
        <f t="shared" si="11"/>
        <v>709</v>
      </c>
      <c r="R12" s="295">
        <f t="shared" si="12"/>
        <v>15.597999999999999</v>
      </c>
      <c r="S12" s="342"/>
    </row>
    <row r="13" spans="1:19" x14ac:dyDescent="0.25">
      <c r="A13" s="291" t="s">
        <v>255</v>
      </c>
      <c r="B13" s="297" t="s">
        <v>256</v>
      </c>
      <c r="C13" s="293">
        <v>2604</v>
      </c>
      <c r="D13" s="293">
        <v>137</v>
      </c>
      <c r="E13" s="293">
        <f>C13-$D$13</f>
        <v>2467</v>
      </c>
      <c r="F13" s="293">
        <f t="shared" si="0"/>
        <v>2330</v>
      </c>
      <c r="G13" s="293">
        <f t="shared" ref="G13:P13" si="15">F13-$D13</f>
        <v>2193</v>
      </c>
      <c r="H13" s="293">
        <f t="shared" si="15"/>
        <v>2056</v>
      </c>
      <c r="I13" s="293">
        <f t="shared" si="15"/>
        <v>1919</v>
      </c>
      <c r="J13" s="293">
        <f t="shared" si="15"/>
        <v>1782</v>
      </c>
      <c r="K13" s="293">
        <f t="shared" si="15"/>
        <v>1645</v>
      </c>
      <c r="L13" s="293">
        <f t="shared" si="15"/>
        <v>1508</v>
      </c>
      <c r="M13" s="293">
        <f t="shared" si="15"/>
        <v>1371</v>
      </c>
      <c r="N13" s="293">
        <f t="shared" si="15"/>
        <v>1234</v>
      </c>
      <c r="O13" s="293">
        <f t="shared" si="15"/>
        <v>1097</v>
      </c>
      <c r="P13" s="293">
        <f t="shared" si="15"/>
        <v>960</v>
      </c>
      <c r="Q13" s="295">
        <f t="shared" si="11"/>
        <v>1782</v>
      </c>
      <c r="R13" s="295">
        <f t="shared" si="12"/>
        <v>39.204000000000001</v>
      </c>
      <c r="S13" s="342"/>
    </row>
    <row r="14" spans="1:19" x14ac:dyDescent="0.25">
      <c r="A14" s="291" t="s">
        <v>257</v>
      </c>
      <c r="B14" s="297" t="s">
        <v>256</v>
      </c>
      <c r="C14" s="293">
        <v>2604</v>
      </c>
      <c r="D14" s="293">
        <v>137</v>
      </c>
      <c r="E14" s="293">
        <f>C14-$D$14</f>
        <v>2467</v>
      </c>
      <c r="F14" s="293">
        <f t="shared" si="0"/>
        <v>2330</v>
      </c>
      <c r="G14" s="293">
        <f t="shared" ref="G14:P14" si="16">F14-$D14</f>
        <v>2193</v>
      </c>
      <c r="H14" s="293">
        <f t="shared" si="16"/>
        <v>2056</v>
      </c>
      <c r="I14" s="293">
        <f t="shared" si="16"/>
        <v>1919</v>
      </c>
      <c r="J14" s="293">
        <f t="shared" si="16"/>
        <v>1782</v>
      </c>
      <c r="K14" s="293">
        <f t="shared" si="16"/>
        <v>1645</v>
      </c>
      <c r="L14" s="293">
        <f t="shared" si="16"/>
        <v>1508</v>
      </c>
      <c r="M14" s="293">
        <f t="shared" si="16"/>
        <v>1371</v>
      </c>
      <c r="N14" s="293">
        <f t="shared" si="16"/>
        <v>1234</v>
      </c>
      <c r="O14" s="293">
        <f t="shared" si="16"/>
        <v>1097</v>
      </c>
      <c r="P14" s="293">
        <f t="shared" si="16"/>
        <v>960</v>
      </c>
      <c r="Q14" s="295">
        <f t="shared" si="11"/>
        <v>1782</v>
      </c>
      <c r="R14" s="295">
        <f t="shared" si="12"/>
        <v>39.204000000000001</v>
      </c>
      <c r="S14" s="342"/>
    </row>
    <row r="15" spans="1:19" x14ac:dyDescent="0.25">
      <c r="A15" s="291" t="s">
        <v>258</v>
      </c>
      <c r="B15" s="297" t="s">
        <v>256</v>
      </c>
      <c r="C15" s="293">
        <v>2604</v>
      </c>
      <c r="D15" s="293">
        <v>137</v>
      </c>
      <c r="E15" s="293">
        <f>C15-$D$15</f>
        <v>2467</v>
      </c>
      <c r="F15" s="293">
        <f t="shared" si="0"/>
        <v>2330</v>
      </c>
      <c r="G15" s="293">
        <f t="shared" ref="G15:P15" si="17">F15-$D15</f>
        <v>2193</v>
      </c>
      <c r="H15" s="293">
        <f t="shared" si="17"/>
        <v>2056</v>
      </c>
      <c r="I15" s="293">
        <f t="shared" si="17"/>
        <v>1919</v>
      </c>
      <c r="J15" s="293">
        <f t="shared" si="17"/>
        <v>1782</v>
      </c>
      <c r="K15" s="293">
        <f t="shared" si="17"/>
        <v>1645</v>
      </c>
      <c r="L15" s="293">
        <f t="shared" si="17"/>
        <v>1508</v>
      </c>
      <c r="M15" s="293">
        <f t="shared" si="17"/>
        <v>1371</v>
      </c>
      <c r="N15" s="293">
        <f t="shared" si="17"/>
        <v>1234</v>
      </c>
      <c r="O15" s="293">
        <f t="shared" si="17"/>
        <v>1097</v>
      </c>
      <c r="P15" s="293">
        <f t="shared" si="17"/>
        <v>960</v>
      </c>
      <c r="Q15" s="295">
        <f t="shared" si="11"/>
        <v>1782</v>
      </c>
      <c r="R15" s="295">
        <f t="shared" si="12"/>
        <v>39.204000000000001</v>
      </c>
      <c r="S15" s="342"/>
    </row>
    <row r="16" spans="1:19" x14ac:dyDescent="0.25">
      <c r="A16" s="291" t="s">
        <v>259</v>
      </c>
      <c r="B16" s="297" t="s">
        <v>256</v>
      </c>
      <c r="C16" s="293">
        <v>2604</v>
      </c>
      <c r="D16" s="293">
        <v>137</v>
      </c>
      <c r="E16" s="293">
        <f>C16-$D$16</f>
        <v>2467</v>
      </c>
      <c r="F16" s="293">
        <f t="shared" si="0"/>
        <v>2330</v>
      </c>
      <c r="G16" s="293">
        <f t="shared" ref="G16:P16" si="18">F16-$D16</f>
        <v>2193</v>
      </c>
      <c r="H16" s="293">
        <f t="shared" si="18"/>
        <v>2056</v>
      </c>
      <c r="I16" s="293">
        <f t="shared" si="18"/>
        <v>1919</v>
      </c>
      <c r="J16" s="293">
        <f t="shared" si="18"/>
        <v>1782</v>
      </c>
      <c r="K16" s="293">
        <f t="shared" si="18"/>
        <v>1645</v>
      </c>
      <c r="L16" s="293">
        <f t="shared" si="18"/>
        <v>1508</v>
      </c>
      <c r="M16" s="293">
        <f t="shared" si="18"/>
        <v>1371</v>
      </c>
      <c r="N16" s="293">
        <f t="shared" si="18"/>
        <v>1234</v>
      </c>
      <c r="O16" s="293">
        <f t="shared" si="18"/>
        <v>1097</v>
      </c>
      <c r="P16" s="293">
        <f t="shared" si="18"/>
        <v>960</v>
      </c>
      <c r="Q16" s="295">
        <f t="shared" si="11"/>
        <v>1782</v>
      </c>
      <c r="R16" s="295">
        <f t="shared" si="12"/>
        <v>39.204000000000001</v>
      </c>
      <c r="S16" s="342"/>
    </row>
    <row r="17" spans="1:19" ht="26.25" x14ac:dyDescent="0.25">
      <c r="A17" s="291" t="s">
        <v>260</v>
      </c>
      <c r="B17" s="297" t="s">
        <v>261</v>
      </c>
      <c r="C17" s="293">
        <v>763404</v>
      </c>
      <c r="D17" s="293">
        <v>2410</v>
      </c>
      <c r="E17" s="293">
        <f>C17-$D$17</f>
        <v>760994</v>
      </c>
      <c r="F17" s="293">
        <f t="shared" si="0"/>
        <v>758584</v>
      </c>
      <c r="G17" s="293">
        <f t="shared" ref="G17:P17" si="19">F17-$D17</f>
        <v>756174</v>
      </c>
      <c r="H17" s="293">
        <f t="shared" si="19"/>
        <v>753764</v>
      </c>
      <c r="I17" s="293">
        <f t="shared" si="19"/>
        <v>751354</v>
      </c>
      <c r="J17" s="293">
        <f t="shared" si="19"/>
        <v>748944</v>
      </c>
      <c r="K17" s="293">
        <f t="shared" si="19"/>
        <v>746534</v>
      </c>
      <c r="L17" s="293">
        <f t="shared" si="19"/>
        <v>744124</v>
      </c>
      <c r="M17" s="293">
        <f t="shared" si="19"/>
        <v>741714</v>
      </c>
      <c r="N17" s="293">
        <f t="shared" si="19"/>
        <v>739304</v>
      </c>
      <c r="O17" s="293">
        <f t="shared" si="19"/>
        <v>736894</v>
      </c>
      <c r="P17" s="293">
        <f t="shared" si="19"/>
        <v>734484</v>
      </c>
      <c r="Q17" s="295">
        <f t="shared" si="11"/>
        <v>748944</v>
      </c>
      <c r="R17" s="295">
        <f t="shared" si="12"/>
        <v>16476.768</v>
      </c>
      <c r="S17" s="342"/>
    </row>
    <row r="18" spans="1:19" ht="26.25" x14ac:dyDescent="0.25">
      <c r="A18" s="291" t="s">
        <v>263</v>
      </c>
      <c r="B18" s="297" t="s">
        <v>264</v>
      </c>
      <c r="C18" s="293">
        <v>1654143</v>
      </c>
      <c r="D18" s="293">
        <v>8388</v>
      </c>
      <c r="E18" s="293">
        <f>C18-$D$18</f>
        <v>1645755</v>
      </c>
      <c r="F18" s="293">
        <f t="shared" si="0"/>
        <v>1637367</v>
      </c>
      <c r="G18" s="293">
        <f t="shared" ref="G18:P18" si="20">F18-$D18</f>
        <v>1628979</v>
      </c>
      <c r="H18" s="293">
        <f t="shared" si="20"/>
        <v>1620591</v>
      </c>
      <c r="I18" s="293">
        <f t="shared" si="20"/>
        <v>1612203</v>
      </c>
      <c r="J18" s="293">
        <f t="shared" si="20"/>
        <v>1603815</v>
      </c>
      <c r="K18" s="293">
        <f t="shared" si="20"/>
        <v>1595427</v>
      </c>
      <c r="L18" s="293">
        <f t="shared" si="20"/>
        <v>1587039</v>
      </c>
      <c r="M18" s="293">
        <f t="shared" si="20"/>
        <v>1578651</v>
      </c>
      <c r="N18" s="293">
        <f t="shared" si="20"/>
        <v>1570263</v>
      </c>
      <c r="O18" s="293">
        <f t="shared" si="20"/>
        <v>1561875</v>
      </c>
      <c r="P18" s="293">
        <f t="shared" si="20"/>
        <v>1553487</v>
      </c>
      <c r="Q18" s="295">
        <f t="shared" si="11"/>
        <v>1603815</v>
      </c>
      <c r="R18" s="295">
        <f t="shared" si="12"/>
        <v>35283.93</v>
      </c>
      <c r="S18" s="342"/>
    </row>
    <row r="19" spans="1:19" x14ac:dyDescent="0.25">
      <c r="A19" s="291" t="s">
        <v>265</v>
      </c>
      <c r="B19" s="297" t="s">
        <v>266</v>
      </c>
      <c r="C19" s="293">
        <v>12431</v>
      </c>
      <c r="D19" s="293">
        <v>57</v>
      </c>
      <c r="E19" s="293">
        <f>C19-$D$19</f>
        <v>12374</v>
      </c>
      <c r="F19" s="293">
        <f t="shared" si="0"/>
        <v>12317</v>
      </c>
      <c r="G19" s="293">
        <f t="shared" ref="G19:P19" si="21">F19-$D19</f>
        <v>12260</v>
      </c>
      <c r="H19" s="293">
        <f t="shared" si="21"/>
        <v>12203</v>
      </c>
      <c r="I19" s="293">
        <f t="shared" si="21"/>
        <v>12146</v>
      </c>
      <c r="J19" s="293">
        <f t="shared" si="21"/>
        <v>12089</v>
      </c>
      <c r="K19" s="293">
        <f t="shared" si="21"/>
        <v>12032</v>
      </c>
      <c r="L19" s="293">
        <f t="shared" si="21"/>
        <v>11975</v>
      </c>
      <c r="M19" s="293">
        <f t="shared" si="21"/>
        <v>11918</v>
      </c>
      <c r="N19" s="293">
        <f t="shared" si="21"/>
        <v>11861</v>
      </c>
      <c r="O19" s="293">
        <f t="shared" si="21"/>
        <v>11804</v>
      </c>
      <c r="P19" s="293">
        <f t="shared" si="21"/>
        <v>11747</v>
      </c>
      <c r="Q19" s="295">
        <f t="shared" si="11"/>
        <v>12089</v>
      </c>
      <c r="R19" s="295">
        <f t="shared" si="12"/>
        <v>265.95799999999997</v>
      </c>
      <c r="S19" s="342"/>
    </row>
    <row r="20" spans="1:19" ht="26.25" x14ac:dyDescent="0.25">
      <c r="A20" s="291" t="s">
        <v>268</v>
      </c>
      <c r="B20" s="297" t="s">
        <v>269</v>
      </c>
      <c r="C20" s="293">
        <v>4411</v>
      </c>
      <c r="D20" s="293">
        <v>20</v>
      </c>
      <c r="E20" s="293">
        <f>C20-$D$20</f>
        <v>4391</v>
      </c>
      <c r="F20" s="293">
        <f t="shared" si="0"/>
        <v>4371</v>
      </c>
      <c r="G20" s="293">
        <f t="shared" ref="G20:P20" si="22">F20-$D20</f>
        <v>4351</v>
      </c>
      <c r="H20" s="293">
        <f t="shared" si="22"/>
        <v>4331</v>
      </c>
      <c r="I20" s="293">
        <f t="shared" si="22"/>
        <v>4311</v>
      </c>
      <c r="J20" s="293">
        <f t="shared" si="22"/>
        <v>4291</v>
      </c>
      <c r="K20" s="293">
        <f t="shared" si="22"/>
        <v>4271</v>
      </c>
      <c r="L20" s="293">
        <f t="shared" si="22"/>
        <v>4251</v>
      </c>
      <c r="M20" s="293">
        <f t="shared" si="22"/>
        <v>4231</v>
      </c>
      <c r="N20" s="293">
        <f t="shared" si="22"/>
        <v>4211</v>
      </c>
      <c r="O20" s="293">
        <f t="shared" si="22"/>
        <v>4191</v>
      </c>
      <c r="P20" s="293">
        <f t="shared" si="22"/>
        <v>4171</v>
      </c>
      <c r="Q20" s="295">
        <f t="shared" si="11"/>
        <v>4291</v>
      </c>
      <c r="R20" s="295">
        <f t="shared" si="12"/>
        <v>94.402000000000001</v>
      </c>
      <c r="S20" s="342"/>
    </row>
    <row r="21" spans="1:19" x14ac:dyDescent="0.25">
      <c r="A21" s="291" t="s">
        <v>274</v>
      </c>
      <c r="B21" s="298" t="s">
        <v>275</v>
      </c>
      <c r="C21" s="293">
        <v>46115</v>
      </c>
      <c r="D21" s="293">
        <v>816</v>
      </c>
      <c r="E21" s="293">
        <f>C21-D21</f>
        <v>45299</v>
      </c>
      <c r="F21" s="293">
        <f t="shared" si="0"/>
        <v>44483</v>
      </c>
      <c r="G21" s="293">
        <f t="shared" ref="G21:P21" si="23">F21-$D21</f>
        <v>43667</v>
      </c>
      <c r="H21" s="293">
        <f t="shared" si="23"/>
        <v>42851</v>
      </c>
      <c r="I21" s="293">
        <f t="shared" si="23"/>
        <v>42035</v>
      </c>
      <c r="J21" s="293">
        <f t="shared" si="23"/>
        <v>41219</v>
      </c>
      <c r="K21" s="293">
        <f t="shared" si="23"/>
        <v>40403</v>
      </c>
      <c r="L21" s="293">
        <f t="shared" si="23"/>
        <v>39587</v>
      </c>
      <c r="M21" s="293">
        <f t="shared" si="23"/>
        <v>38771</v>
      </c>
      <c r="N21" s="293">
        <f t="shared" si="23"/>
        <v>37955</v>
      </c>
      <c r="O21" s="293">
        <f t="shared" si="23"/>
        <v>37139</v>
      </c>
      <c r="P21" s="293">
        <f t="shared" si="23"/>
        <v>36323</v>
      </c>
      <c r="Q21" s="295">
        <f t="shared" si="11"/>
        <v>41219</v>
      </c>
      <c r="R21" s="295">
        <f t="shared" si="12"/>
        <v>906.81799999999998</v>
      </c>
      <c r="S21" s="342"/>
    </row>
    <row r="22" spans="1:19" ht="25.5" x14ac:dyDescent="0.25">
      <c r="A22" s="291" t="s">
        <v>280</v>
      </c>
      <c r="B22" s="298" t="s">
        <v>281</v>
      </c>
      <c r="C22" s="293">
        <v>33488</v>
      </c>
      <c r="D22" s="293">
        <v>4740</v>
      </c>
      <c r="E22" s="293">
        <f t="shared" ref="E22:E42" si="24">C22-D22</f>
        <v>28748</v>
      </c>
      <c r="F22" s="293">
        <f t="shared" si="0"/>
        <v>24008</v>
      </c>
      <c r="G22" s="293">
        <f t="shared" ref="G22:K22" si="25">F22-$D22</f>
        <v>19268</v>
      </c>
      <c r="H22" s="293">
        <f t="shared" si="25"/>
        <v>14528</v>
      </c>
      <c r="I22" s="293">
        <f t="shared" si="25"/>
        <v>9788</v>
      </c>
      <c r="J22" s="293">
        <f t="shared" si="25"/>
        <v>5048</v>
      </c>
      <c r="K22" s="293">
        <f t="shared" si="25"/>
        <v>308</v>
      </c>
      <c r="L22" s="293">
        <v>0</v>
      </c>
      <c r="M22" s="293">
        <v>0</v>
      </c>
      <c r="N22" s="293">
        <v>0</v>
      </c>
      <c r="O22" s="293">
        <v>0</v>
      </c>
      <c r="P22" s="293">
        <v>0</v>
      </c>
      <c r="Q22" s="295">
        <f>(SUM(E22:P22)+C22)/13</f>
        <v>10398.76923076923</v>
      </c>
      <c r="R22" s="295">
        <f t="shared" si="12"/>
        <v>228.77292307692306</v>
      </c>
      <c r="S22" s="342"/>
    </row>
    <row r="23" spans="1:19" ht="15.75" x14ac:dyDescent="0.25">
      <c r="A23" s="258" t="s">
        <v>392</v>
      </c>
      <c r="B23" s="267" t="s">
        <v>388</v>
      </c>
      <c r="C23" s="267">
        <v>1079085</v>
      </c>
      <c r="D23" s="267">
        <v>2956</v>
      </c>
      <c r="E23" s="267">
        <f t="shared" si="24"/>
        <v>1076129</v>
      </c>
      <c r="F23" s="267">
        <f>E23-$D23</f>
        <v>1073173</v>
      </c>
      <c r="G23" s="267">
        <f t="shared" ref="G23:P23" si="26">F23-$D23</f>
        <v>1070217</v>
      </c>
      <c r="H23" s="267">
        <f t="shared" si="26"/>
        <v>1067261</v>
      </c>
      <c r="I23" s="267">
        <f t="shared" si="26"/>
        <v>1064305</v>
      </c>
      <c r="J23" s="267">
        <f t="shared" si="26"/>
        <v>1061349</v>
      </c>
      <c r="K23" s="267">
        <f t="shared" si="26"/>
        <v>1058393</v>
      </c>
      <c r="L23" s="267">
        <f t="shared" si="26"/>
        <v>1055437</v>
      </c>
      <c r="M23" s="267">
        <f t="shared" si="26"/>
        <v>1052481</v>
      </c>
      <c r="N23" s="267">
        <f t="shared" si="26"/>
        <v>1049525</v>
      </c>
      <c r="O23" s="267">
        <f t="shared" si="26"/>
        <v>1046569</v>
      </c>
      <c r="P23" s="267">
        <f t="shared" si="26"/>
        <v>1043613</v>
      </c>
      <c r="Q23" s="299">
        <f t="shared" ref="Q23:Q42" si="27">(SUM(E23:P23)+C23)/13</f>
        <v>1061349</v>
      </c>
      <c r="R23" s="299">
        <f t="shared" si="12"/>
        <v>23349.678</v>
      </c>
      <c r="S23" s="342"/>
    </row>
    <row r="24" spans="1:19" ht="31.5" x14ac:dyDescent="0.25">
      <c r="A24" s="258" t="s">
        <v>353</v>
      </c>
      <c r="B24" s="267" t="s">
        <v>336</v>
      </c>
      <c r="C24" s="267">
        <v>859</v>
      </c>
      <c r="D24" s="267">
        <v>30</v>
      </c>
      <c r="E24" s="267">
        <f t="shared" si="24"/>
        <v>829</v>
      </c>
      <c r="F24" s="267">
        <f t="shared" ref="F24:P42" si="28">E24-$D24</f>
        <v>799</v>
      </c>
      <c r="G24" s="267">
        <f t="shared" si="28"/>
        <v>769</v>
      </c>
      <c r="H24" s="267">
        <f t="shared" si="28"/>
        <v>739</v>
      </c>
      <c r="I24" s="267">
        <f t="shared" si="28"/>
        <v>709</v>
      </c>
      <c r="J24" s="267">
        <f t="shared" si="28"/>
        <v>679</v>
      </c>
      <c r="K24" s="267">
        <f t="shared" si="28"/>
        <v>649</v>
      </c>
      <c r="L24" s="267">
        <f t="shared" si="28"/>
        <v>619</v>
      </c>
      <c r="M24" s="267">
        <f t="shared" si="28"/>
        <v>589</v>
      </c>
      <c r="N24" s="267">
        <f t="shared" si="28"/>
        <v>559</v>
      </c>
      <c r="O24" s="267">
        <f t="shared" si="28"/>
        <v>529</v>
      </c>
      <c r="P24" s="267">
        <f t="shared" si="28"/>
        <v>499</v>
      </c>
      <c r="Q24" s="299">
        <f t="shared" si="27"/>
        <v>679</v>
      </c>
      <c r="R24" s="299">
        <f t="shared" si="12"/>
        <v>14.937999999999999</v>
      </c>
      <c r="S24" s="342"/>
    </row>
    <row r="25" spans="1:19" ht="31.5" x14ac:dyDescent="0.25">
      <c r="A25" s="258" t="s">
        <v>354</v>
      </c>
      <c r="B25" s="267" t="s">
        <v>337</v>
      </c>
      <c r="C25" s="267">
        <v>2416</v>
      </c>
      <c r="D25" s="267">
        <v>78</v>
      </c>
      <c r="E25" s="267">
        <f t="shared" si="24"/>
        <v>2338</v>
      </c>
      <c r="F25" s="267">
        <f t="shared" si="28"/>
        <v>2260</v>
      </c>
      <c r="G25" s="267">
        <f t="shared" si="28"/>
        <v>2182</v>
      </c>
      <c r="H25" s="267">
        <f t="shared" si="28"/>
        <v>2104</v>
      </c>
      <c r="I25" s="267">
        <f t="shared" si="28"/>
        <v>2026</v>
      </c>
      <c r="J25" s="267">
        <f t="shared" si="28"/>
        <v>1948</v>
      </c>
      <c r="K25" s="267">
        <f t="shared" si="28"/>
        <v>1870</v>
      </c>
      <c r="L25" s="267">
        <f t="shared" si="28"/>
        <v>1792</v>
      </c>
      <c r="M25" s="267">
        <f t="shared" si="28"/>
        <v>1714</v>
      </c>
      <c r="N25" s="267">
        <f t="shared" si="28"/>
        <v>1636</v>
      </c>
      <c r="O25" s="267">
        <f t="shared" si="28"/>
        <v>1558</v>
      </c>
      <c r="P25" s="267">
        <f t="shared" si="28"/>
        <v>1480</v>
      </c>
      <c r="Q25" s="299">
        <f t="shared" si="27"/>
        <v>1948</v>
      </c>
      <c r="R25" s="299">
        <f t="shared" si="12"/>
        <v>42.855999999999995</v>
      </c>
      <c r="S25" s="342"/>
    </row>
    <row r="26" spans="1:19" ht="15.75" x14ac:dyDescent="0.25">
      <c r="A26" s="258" t="s">
        <v>355</v>
      </c>
      <c r="B26" s="267" t="s">
        <v>338</v>
      </c>
      <c r="C26" s="267">
        <v>9876</v>
      </c>
      <c r="D26" s="267">
        <v>53</v>
      </c>
      <c r="E26" s="267">
        <f t="shared" si="24"/>
        <v>9823</v>
      </c>
      <c r="F26" s="267">
        <f t="shared" si="28"/>
        <v>9770</v>
      </c>
      <c r="G26" s="267">
        <f t="shared" si="28"/>
        <v>9717</v>
      </c>
      <c r="H26" s="267">
        <f t="shared" si="28"/>
        <v>9664</v>
      </c>
      <c r="I26" s="267">
        <f t="shared" si="28"/>
        <v>9611</v>
      </c>
      <c r="J26" s="267">
        <f t="shared" si="28"/>
        <v>9558</v>
      </c>
      <c r="K26" s="267">
        <f t="shared" si="28"/>
        <v>9505</v>
      </c>
      <c r="L26" s="267">
        <f t="shared" si="28"/>
        <v>9452</v>
      </c>
      <c r="M26" s="267">
        <f t="shared" si="28"/>
        <v>9399</v>
      </c>
      <c r="N26" s="267">
        <f t="shared" si="28"/>
        <v>9346</v>
      </c>
      <c r="O26" s="267">
        <f t="shared" si="28"/>
        <v>9293</v>
      </c>
      <c r="P26" s="267">
        <f t="shared" si="28"/>
        <v>9240</v>
      </c>
      <c r="Q26" s="299">
        <f t="shared" si="27"/>
        <v>9558</v>
      </c>
      <c r="R26" s="299">
        <f t="shared" si="12"/>
        <v>210.27599999999998</v>
      </c>
      <c r="S26" s="342"/>
    </row>
    <row r="27" spans="1:19" ht="31.5" x14ac:dyDescent="0.25">
      <c r="A27" s="258" t="s">
        <v>356</v>
      </c>
      <c r="B27" s="267" t="s">
        <v>339</v>
      </c>
      <c r="C27" s="267">
        <v>4269</v>
      </c>
      <c r="D27" s="267">
        <v>57</v>
      </c>
      <c r="E27" s="267">
        <f t="shared" si="24"/>
        <v>4212</v>
      </c>
      <c r="F27" s="267">
        <f t="shared" si="28"/>
        <v>4155</v>
      </c>
      <c r="G27" s="267">
        <f t="shared" si="28"/>
        <v>4098</v>
      </c>
      <c r="H27" s="267">
        <f t="shared" si="28"/>
        <v>4041</v>
      </c>
      <c r="I27" s="267">
        <f t="shared" si="28"/>
        <v>3984</v>
      </c>
      <c r="J27" s="267">
        <f t="shared" si="28"/>
        <v>3927</v>
      </c>
      <c r="K27" s="267">
        <f t="shared" si="28"/>
        <v>3870</v>
      </c>
      <c r="L27" s="267">
        <f t="shared" si="28"/>
        <v>3813</v>
      </c>
      <c r="M27" s="267">
        <f t="shared" si="28"/>
        <v>3756</v>
      </c>
      <c r="N27" s="267">
        <f t="shared" si="28"/>
        <v>3699</v>
      </c>
      <c r="O27" s="267">
        <f t="shared" si="28"/>
        <v>3642</v>
      </c>
      <c r="P27" s="267">
        <f t="shared" si="28"/>
        <v>3585</v>
      </c>
      <c r="Q27" s="299">
        <f t="shared" si="27"/>
        <v>3927</v>
      </c>
      <c r="R27" s="299">
        <f t="shared" si="12"/>
        <v>86.393999999999991</v>
      </c>
      <c r="S27" s="342"/>
    </row>
    <row r="28" spans="1:19" ht="31.5" x14ac:dyDescent="0.25">
      <c r="A28" s="258" t="s">
        <v>357</v>
      </c>
      <c r="B28" s="267" t="s">
        <v>340</v>
      </c>
      <c r="C28" s="267">
        <v>1537</v>
      </c>
      <c r="D28" s="267">
        <v>74</v>
      </c>
      <c r="E28" s="267">
        <f t="shared" si="24"/>
        <v>1463</v>
      </c>
      <c r="F28" s="267">
        <f t="shared" si="28"/>
        <v>1389</v>
      </c>
      <c r="G28" s="267">
        <f t="shared" si="28"/>
        <v>1315</v>
      </c>
      <c r="H28" s="267">
        <f t="shared" si="28"/>
        <v>1241</v>
      </c>
      <c r="I28" s="267">
        <f t="shared" si="28"/>
        <v>1167</v>
      </c>
      <c r="J28" s="267">
        <f t="shared" si="28"/>
        <v>1093</v>
      </c>
      <c r="K28" s="267">
        <f t="shared" si="28"/>
        <v>1019</v>
      </c>
      <c r="L28" s="267">
        <f t="shared" si="28"/>
        <v>945</v>
      </c>
      <c r="M28" s="267">
        <f t="shared" si="28"/>
        <v>871</v>
      </c>
      <c r="N28" s="267">
        <f t="shared" si="28"/>
        <v>797</v>
      </c>
      <c r="O28" s="267">
        <f t="shared" si="28"/>
        <v>723</v>
      </c>
      <c r="P28" s="267">
        <f t="shared" si="28"/>
        <v>649</v>
      </c>
      <c r="Q28" s="299">
        <f t="shared" si="27"/>
        <v>1093</v>
      </c>
      <c r="R28" s="299">
        <f t="shared" si="12"/>
        <v>24.045999999999999</v>
      </c>
      <c r="S28" s="342"/>
    </row>
    <row r="29" spans="1:19" ht="31.5" x14ac:dyDescent="0.25">
      <c r="A29" s="269" t="s">
        <v>358</v>
      </c>
      <c r="B29" s="272" t="s">
        <v>341</v>
      </c>
      <c r="C29" s="272">
        <v>317</v>
      </c>
      <c r="D29" s="272">
        <v>39</v>
      </c>
      <c r="E29" s="272">
        <f t="shared" si="24"/>
        <v>278</v>
      </c>
      <c r="F29" s="272">
        <f t="shared" si="28"/>
        <v>239</v>
      </c>
      <c r="G29" s="272">
        <f t="shared" si="28"/>
        <v>200</v>
      </c>
      <c r="H29" s="272">
        <f t="shared" si="28"/>
        <v>161</v>
      </c>
      <c r="I29" s="272">
        <f t="shared" si="28"/>
        <v>122</v>
      </c>
      <c r="J29" s="272">
        <f t="shared" si="28"/>
        <v>83</v>
      </c>
      <c r="K29" s="272">
        <f t="shared" si="28"/>
        <v>44</v>
      </c>
      <c r="L29" s="272">
        <f t="shared" si="28"/>
        <v>5</v>
      </c>
      <c r="M29" s="272">
        <v>0</v>
      </c>
      <c r="N29" s="272">
        <v>0</v>
      </c>
      <c r="O29" s="272">
        <v>0</v>
      </c>
      <c r="P29" s="272">
        <v>0</v>
      </c>
      <c r="Q29" s="300">
        <f t="shared" si="27"/>
        <v>111.46153846153847</v>
      </c>
      <c r="R29" s="300">
        <f t="shared" si="12"/>
        <v>2.4521538461538461</v>
      </c>
      <c r="S29" s="342"/>
    </row>
    <row r="30" spans="1:19" ht="15.75" x14ac:dyDescent="0.25">
      <c r="A30" s="258" t="s">
        <v>359</v>
      </c>
      <c r="B30" s="267" t="s">
        <v>342</v>
      </c>
      <c r="C30" s="267">
        <v>897</v>
      </c>
      <c r="D30" s="267">
        <v>41</v>
      </c>
      <c r="E30" s="267">
        <f t="shared" si="24"/>
        <v>856</v>
      </c>
      <c r="F30" s="267">
        <f t="shared" si="28"/>
        <v>815</v>
      </c>
      <c r="G30" s="267">
        <f t="shared" si="28"/>
        <v>774</v>
      </c>
      <c r="H30" s="267">
        <f t="shared" si="28"/>
        <v>733</v>
      </c>
      <c r="I30" s="267">
        <f t="shared" si="28"/>
        <v>692</v>
      </c>
      <c r="J30" s="267">
        <f t="shared" si="28"/>
        <v>651</v>
      </c>
      <c r="K30" s="267">
        <f t="shared" si="28"/>
        <v>610</v>
      </c>
      <c r="L30" s="267">
        <f t="shared" si="28"/>
        <v>569</v>
      </c>
      <c r="M30" s="267">
        <f t="shared" si="28"/>
        <v>528</v>
      </c>
      <c r="N30" s="267">
        <f t="shared" si="28"/>
        <v>487</v>
      </c>
      <c r="O30" s="267">
        <f t="shared" si="28"/>
        <v>446</v>
      </c>
      <c r="P30" s="267">
        <f t="shared" si="28"/>
        <v>405</v>
      </c>
      <c r="Q30" s="299">
        <f t="shared" si="27"/>
        <v>651</v>
      </c>
      <c r="R30" s="299">
        <f t="shared" si="12"/>
        <v>14.321999999999999</v>
      </c>
      <c r="S30" s="342"/>
    </row>
    <row r="31" spans="1:19" ht="31.5" x14ac:dyDescent="0.25">
      <c r="A31" s="258" t="s">
        <v>361</v>
      </c>
      <c r="B31" s="267" t="s">
        <v>343</v>
      </c>
      <c r="C31" s="267">
        <v>63161</v>
      </c>
      <c r="D31" s="267">
        <v>1347</v>
      </c>
      <c r="E31" s="267">
        <f t="shared" si="24"/>
        <v>61814</v>
      </c>
      <c r="F31" s="267">
        <f t="shared" si="28"/>
        <v>60467</v>
      </c>
      <c r="G31" s="267">
        <f t="shared" si="28"/>
        <v>59120</v>
      </c>
      <c r="H31" s="267">
        <f t="shared" si="28"/>
        <v>57773</v>
      </c>
      <c r="I31" s="267">
        <f t="shared" si="28"/>
        <v>56426</v>
      </c>
      <c r="J31" s="267">
        <f t="shared" si="28"/>
        <v>55079</v>
      </c>
      <c r="K31" s="267">
        <f t="shared" si="28"/>
        <v>53732</v>
      </c>
      <c r="L31" s="267">
        <f t="shared" si="28"/>
        <v>52385</v>
      </c>
      <c r="M31" s="267">
        <f t="shared" si="28"/>
        <v>51038</v>
      </c>
      <c r="N31" s="267">
        <f t="shared" si="28"/>
        <v>49691</v>
      </c>
      <c r="O31" s="267">
        <f t="shared" si="28"/>
        <v>48344</v>
      </c>
      <c r="P31" s="267">
        <f t="shared" si="28"/>
        <v>46997</v>
      </c>
      <c r="Q31" s="299">
        <f t="shared" si="27"/>
        <v>55079</v>
      </c>
      <c r="R31" s="299">
        <f t="shared" si="12"/>
        <v>1211.7379999999998</v>
      </c>
      <c r="S31" s="342"/>
    </row>
    <row r="32" spans="1:19" ht="31.5" x14ac:dyDescent="0.25">
      <c r="A32" s="258" t="s">
        <v>362</v>
      </c>
      <c r="B32" s="267" t="s">
        <v>344</v>
      </c>
      <c r="C32" s="267">
        <v>13565</v>
      </c>
      <c r="D32" s="267">
        <v>116</v>
      </c>
      <c r="E32" s="267">
        <f t="shared" si="24"/>
        <v>13449</v>
      </c>
      <c r="F32" s="267">
        <f t="shared" si="28"/>
        <v>13333</v>
      </c>
      <c r="G32" s="267">
        <f t="shared" si="28"/>
        <v>13217</v>
      </c>
      <c r="H32" s="267">
        <f t="shared" si="28"/>
        <v>13101</v>
      </c>
      <c r="I32" s="267">
        <f t="shared" si="28"/>
        <v>12985</v>
      </c>
      <c r="J32" s="267">
        <f t="shared" si="28"/>
        <v>12869</v>
      </c>
      <c r="K32" s="267">
        <f t="shared" si="28"/>
        <v>12753</v>
      </c>
      <c r="L32" s="267">
        <f t="shared" si="28"/>
        <v>12637</v>
      </c>
      <c r="M32" s="267">
        <f t="shared" si="28"/>
        <v>12521</v>
      </c>
      <c r="N32" s="267">
        <f t="shared" si="28"/>
        <v>12405</v>
      </c>
      <c r="O32" s="267">
        <f t="shared" si="28"/>
        <v>12289</v>
      </c>
      <c r="P32" s="267">
        <f t="shared" si="28"/>
        <v>12173</v>
      </c>
      <c r="Q32" s="299">
        <f t="shared" si="27"/>
        <v>12869</v>
      </c>
      <c r="R32" s="299">
        <f t="shared" si="12"/>
        <v>283.11799999999999</v>
      </c>
      <c r="S32" s="342"/>
    </row>
    <row r="33" spans="1:19" ht="15.75" x14ac:dyDescent="0.25">
      <c r="A33" s="258" t="s">
        <v>363</v>
      </c>
      <c r="B33" s="267" t="s">
        <v>345</v>
      </c>
      <c r="C33" s="267">
        <v>33965</v>
      </c>
      <c r="D33" s="267">
        <v>245</v>
      </c>
      <c r="E33" s="267">
        <f t="shared" si="24"/>
        <v>33720</v>
      </c>
      <c r="F33" s="267">
        <f t="shared" si="28"/>
        <v>33475</v>
      </c>
      <c r="G33" s="267">
        <f t="shared" si="28"/>
        <v>33230</v>
      </c>
      <c r="H33" s="267">
        <f t="shared" si="28"/>
        <v>32985</v>
      </c>
      <c r="I33" s="267">
        <f t="shared" si="28"/>
        <v>32740</v>
      </c>
      <c r="J33" s="267">
        <f t="shared" si="28"/>
        <v>32495</v>
      </c>
      <c r="K33" s="267">
        <f t="shared" si="28"/>
        <v>32250</v>
      </c>
      <c r="L33" s="267">
        <f t="shared" si="28"/>
        <v>32005</v>
      </c>
      <c r="M33" s="267">
        <f t="shared" si="28"/>
        <v>31760</v>
      </c>
      <c r="N33" s="267">
        <f t="shared" si="28"/>
        <v>31515</v>
      </c>
      <c r="O33" s="267">
        <f t="shared" si="28"/>
        <v>31270</v>
      </c>
      <c r="P33" s="267">
        <f t="shared" si="28"/>
        <v>31025</v>
      </c>
      <c r="Q33" s="299">
        <f t="shared" si="27"/>
        <v>32495</v>
      </c>
      <c r="R33" s="299">
        <f t="shared" si="12"/>
        <v>714.89</v>
      </c>
      <c r="S33" s="342"/>
    </row>
    <row r="34" spans="1:19" ht="15.75" x14ac:dyDescent="0.25">
      <c r="A34" s="258" t="s">
        <v>364</v>
      </c>
      <c r="B34" s="267" t="s">
        <v>346</v>
      </c>
      <c r="C34" s="267">
        <v>5993</v>
      </c>
      <c r="D34" s="267">
        <v>43</v>
      </c>
      <c r="E34" s="267">
        <f t="shared" si="24"/>
        <v>5950</v>
      </c>
      <c r="F34" s="267">
        <f t="shared" si="28"/>
        <v>5907</v>
      </c>
      <c r="G34" s="267">
        <f t="shared" si="28"/>
        <v>5864</v>
      </c>
      <c r="H34" s="267">
        <f t="shared" si="28"/>
        <v>5821</v>
      </c>
      <c r="I34" s="267">
        <f t="shared" si="28"/>
        <v>5778</v>
      </c>
      <c r="J34" s="267">
        <f t="shared" si="28"/>
        <v>5735</v>
      </c>
      <c r="K34" s="267">
        <f t="shared" si="28"/>
        <v>5692</v>
      </c>
      <c r="L34" s="267">
        <f t="shared" si="28"/>
        <v>5649</v>
      </c>
      <c r="M34" s="267">
        <f t="shared" si="28"/>
        <v>5606</v>
      </c>
      <c r="N34" s="267">
        <f t="shared" si="28"/>
        <v>5563</v>
      </c>
      <c r="O34" s="267">
        <f t="shared" si="28"/>
        <v>5520</v>
      </c>
      <c r="P34" s="267">
        <f t="shared" si="28"/>
        <v>5477</v>
      </c>
      <c r="Q34" s="299">
        <f t="shared" si="27"/>
        <v>5735</v>
      </c>
      <c r="R34" s="299">
        <f t="shared" si="12"/>
        <v>126.16999999999999</v>
      </c>
      <c r="S34" s="342"/>
    </row>
    <row r="35" spans="1:19" ht="15.75" x14ac:dyDescent="0.25">
      <c r="A35" s="258" t="s">
        <v>365</v>
      </c>
      <c r="B35" s="267" t="s">
        <v>347</v>
      </c>
      <c r="C35" s="267">
        <v>29415</v>
      </c>
      <c r="D35" s="267">
        <v>181</v>
      </c>
      <c r="E35" s="267">
        <f t="shared" si="24"/>
        <v>29234</v>
      </c>
      <c r="F35" s="267">
        <f t="shared" si="28"/>
        <v>29053</v>
      </c>
      <c r="G35" s="267">
        <f t="shared" si="28"/>
        <v>28872</v>
      </c>
      <c r="H35" s="267">
        <f t="shared" si="28"/>
        <v>28691</v>
      </c>
      <c r="I35" s="267">
        <f t="shared" si="28"/>
        <v>28510</v>
      </c>
      <c r="J35" s="267">
        <f t="shared" si="28"/>
        <v>28329</v>
      </c>
      <c r="K35" s="267">
        <f t="shared" si="28"/>
        <v>28148</v>
      </c>
      <c r="L35" s="267">
        <f t="shared" si="28"/>
        <v>27967</v>
      </c>
      <c r="M35" s="267">
        <f t="shared" si="28"/>
        <v>27786</v>
      </c>
      <c r="N35" s="267">
        <f t="shared" si="28"/>
        <v>27605</v>
      </c>
      <c r="O35" s="267">
        <f t="shared" si="28"/>
        <v>27424</v>
      </c>
      <c r="P35" s="267">
        <f t="shared" si="28"/>
        <v>27243</v>
      </c>
      <c r="Q35" s="299">
        <f t="shared" si="27"/>
        <v>28329</v>
      </c>
      <c r="R35" s="299">
        <f t="shared" si="12"/>
        <v>623.23799999999994</v>
      </c>
      <c r="S35" s="342"/>
    </row>
    <row r="36" spans="1:19" ht="15.75" x14ac:dyDescent="0.25">
      <c r="A36" s="258" t="s">
        <v>366</v>
      </c>
      <c r="B36" s="267" t="s">
        <v>348</v>
      </c>
      <c r="C36" s="267">
        <v>120156</v>
      </c>
      <c r="D36" s="267">
        <v>578</v>
      </c>
      <c r="E36" s="267">
        <f t="shared" si="24"/>
        <v>119578</v>
      </c>
      <c r="F36" s="267">
        <f t="shared" si="28"/>
        <v>119000</v>
      </c>
      <c r="G36" s="267">
        <f t="shared" si="28"/>
        <v>118422</v>
      </c>
      <c r="H36" s="267">
        <f t="shared" si="28"/>
        <v>117844</v>
      </c>
      <c r="I36" s="267">
        <f t="shared" si="28"/>
        <v>117266</v>
      </c>
      <c r="J36" s="267">
        <f t="shared" si="28"/>
        <v>116688</v>
      </c>
      <c r="K36" s="267">
        <f t="shared" si="28"/>
        <v>116110</v>
      </c>
      <c r="L36" s="267">
        <f t="shared" si="28"/>
        <v>115532</v>
      </c>
      <c r="M36" s="267">
        <f t="shared" si="28"/>
        <v>114954</v>
      </c>
      <c r="N36" s="267">
        <f t="shared" si="28"/>
        <v>114376</v>
      </c>
      <c r="O36" s="267">
        <f t="shared" si="28"/>
        <v>113798</v>
      </c>
      <c r="P36" s="267">
        <f t="shared" si="28"/>
        <v>113220</v>
      </c>
      <c r="Q36" s="299">
        <f t="shared" si="27"/>
        <v>116688</v>
      </c>
      <c r="R36" s="299">
        <f t="shared" si="12"/>
        <v>2567.136</v>
      </c>
      <c r="S36" s="342"/>
    </row>
    <row r="37" spans="1:19" ht="15.75" x14ac:dyDescent="0.25">
      <c r="A37" s="258" t="s">
        <v>367</v>
      </c>
      <c r="B37" s="267" t="s">
        <v>349</v>
      </c>
      <c r="C37" s="267">
        <v>12141</v>
      </c>
      <c r="D37" s="267">
        <v>58</v>
      </c>
      <c r="E37" s="267">
        <f t="shared" si="24"/>
        <v>12083</v>
      </c>
      <c r="F37" s="267">
        <f t="shared" si="28"/>
        <v>12025</v>
      </c>
      <c r="G37" s="267">
        <f t="shared" si="28"/>
        <v>11967</v>
      </c>
      <c r="H37" s="267">
        <f t="shared" si="28"/>
        <v>11909</v>
      </c>
      <c r="I37" s="267">
        <f t="shared" si="28"/>
        <v>11851</v>
      </c>
      <c r="J37" s="267">
        <f t="shared" si="28"/>
        <v>11793</v>
      </c>
      <c r="K37" s="267">
        <f t="shared" si="28"/>
        <v>11735</v>
      </c>
      <c r="L37" s="267">
        <f t="shared" si="28"/>
        <v>11677</v>
      </c>
      <c r="M37" s="267">
        <f t="shared" si="28"/>
        <v>11619</v>
      </c>
      <c r="N37" s="267">
        <f t="shared" si="28"/>
        <v>11561</v>
      </c>
      <c r="O37" s="267">
        <f t="shared" si="28"/>
        <v>11503</v>
      </c>
      <c r="P37" s="267">
        <f t="shared" si="28"/>
        <v>11445</v>
      </c>
      <c r="Q37" s="299">
        <f t="shared" si="27"/>
        <v>11793</v>
      </c>
      <c r="R37" s="299">
        <f t="shared" si="12"/>
        <v>259.44599999999997</v>
      </c>
      <c r="S37" s="342"/>
    </row>
    <row r="38" spans="1:19" ht="31.5" x14ac:dyDescent="0.25">
      <c r="A38" s="258" t="s">
        <v>368</v>
      </c>
      <c r="B38" s="267" t="s">
        <v>350</v>
      </c>
      <c r="C38" s="267">
        <v>13490</v>
      </c>
      <c r="D38" s="267">
        <v>108</v>
      </c>
      <c r="E38" s="267">
        <f t="shared" si="24"/>
        <v>13382</v>
      </c>
      <c r="F38" s="267">
        <f t="shared" si="28"/>
        <v>13274</v>
      </c>
      <c r="G38" s="267">
        <f t="shared" si="28"/>
        <v>13166</v>
      </c>
      <c r="H38" s="267">
        <f t="shared" si="28"/>
        <v>13058</v>
      </c>
      <c r="I38" s="267">
        <f t="shared" si="28"/>
        <v>12950</v>
      </c>
      <c r="J38" s="267">
        <f t="shared" si="28"/>
        <v>12842</v>
      </c>
      <c r="K38" s="267">
        <f t="shared" si="28"/>
        <v>12734</v>
      </c>
      <c r="L38" s="267">
        <f t="shared" si="28"/>
        <v>12626</v>
      </c>
      <c r="M38" s="267">
        <f t="shared" si="28"/>
        <v>12518</v>
      </c>
      <c r="N38" s="267">
        <f t="shared" si="28"/>
        <v>12410</v>
      </c>
      <c r="O38" s="267">
        <f t="shared" si="28"/>
        <v>12302</v>
      </c>
      <c r="P38" s="267">
        <f t="shared" si="28"/>
        <v>12194</v>
      </c>
      <c r="Q38" s="299">
        <f t="shared" si="27"/>
        <v>12842</v>
      </c>
      <c r="R38" s="299">
        <f t="shared" si="12"/>
        <v>282.524</v>
      </c>
      <c r="S38" s="342"/>
    </row>
    <row r="39" spans="1:19" ht="31.5" x14ac:dyDescent="0.25">
      <c r="A39" s="258" t="s">
        <v>370</v>
      </c>
      <c r="B39" s="267" t="s">
        <v>351</v>
      </c>
      <c r="C39" s="267">
        <v>3222</v>
      </c>
      <c r="D39" s="267">
        <v>26</v>
      </c>
      <c r="E39" s="267">
        <f t="shared" si="24"/>
        <v>3196</v>
      </c>
      <c r="F39" s="267">
        <f t="shared" si="28"/>
        <v>3170</v>
      </c>
      <c r="G39" s="267">
        <f t="shared" si="28"/>
        <v>3144</v>
      </c>
      <c r="H39" s="267">
        <f t="shared" si="28"/>
        <v>3118</v>
      </c>
      <c r="I39" s="267">
        <f t="shared" si="28"/>
        <v>3092</v>
      </c>
      <c r="J39" s="267">
        <f t="shared" si="28"/>
        <v>3066</v>
      </c>
      <c r="K39" s="267">
        <f t="shared" si="28"/>
        <v>3040</v>
      </c>
      <c r="L39" s="267">
        <f t="shared" si="28"/>
        <v>3014</v>
      </c>
      <c r="M39" s="267">
        <f t="shared" si="28"/>
        <v>2988</v>
      </c>
      <c r="N39" s="267">
        <f t="shared" si="28"/>
        <v>2962</v>
      </c>
      <c r="O39" s="267">
        <f t="shared" si="28"/>
        <v>2936</v>
      </c>
      <c r="P39" s="267">
        <f t="shared" si="28"/>
        <v>2910</v>
      </c>
      <c r="Q39" s="299">
        <f t="shared" si="27"/>
        <v>3066</v>
      </c>
      <c r="R39" s="299">
        <f t="shared" si="12"/>
        <v>67.451999999999998</v>
      </c>
      <c r="S39" s="342"/>
    </row>
    <row r="40" spans="1:19" ht="15.75" x14ac:dyDescent="0.25">
      <c r="A40" s="258" t="s">
        <v>371</v>
      </c>
      <c r="B40" s="267" t="s">
        <v>352</v>
      </c>
      <c r="C40" s="267">
        <v>8206</v>
      </c>
      <c r="D40" s="267">
        <v>39</v>
      </c>
      <c r="E40" s="267">
        <f t="shared" si="24"/>
        <v>8167</v>
      </c>
      <c r="F40" s="267">
        <f t="shared" si="28"/>
        <v>8128</v>
      </c>
      <c r="G40" s="267">
        <f t="shared" si="28"/>
        <v>8089</v>
      </c>
      <c r="H40" s="267">
        <f t="shared" si="28"/>
        <v>8050</v>
      </c>
      <c r="I40" s="267">
        <f t="shared" si="28"/>
        <v>8011</v>
      </c>
      <c r="J40" s="267">
        <f t="shared" si="28"/>
        <v>7972</v>
      </c>
      <c r="K40" s="267">
        <f t="shared" si="28"/>
        <v>7933</v>
      </c>
      <c r="L40" s="267">
        <f t="shared" si="28"/>
        <v>7894</v>
      </c>
      <c r="M40" s="267">
        <f t="shared" si="28"/>
        <v>7855</v>
      </c>
      <c r="N40" s="267">
        <f t="shared" si="28"/>
        <v>7816</v>
      </c>
      <c r="O40" s="267">
        <f t="shared" si="28"/>
        <v>7777</v>
      </c>
      <c r="P40" s="267">
        <f t="shared" si="28"/>
        <v>7738</v>
      </c>
      <c r="Q40" s="299">
        <f t="shared" si="27"/>
        <v>7972</v>
      </c>
      <c r="R40" s="299">
        <f t="shared" si="12"/>
        <v>175.38399999999999</v>
      </c>
      <c r="S40" s="342"/>
    </row>
    <row r="41" spans="1:19" ht="31.5" x14ac:dyDescent="0.25">
      <c r="A41" s="258" t="s">
        <v>391</v>
      </c>
      <c r="B41" s="267" t="s">
        <v>387</v>
      </c>
      <c r="C41" s="267">
        <v>392209</v>
      </c>
      <c r="D41" s="267">
        <v>4021</v>
      </c>
      <c r="E41" s="267">
        <f t="shared" si="24"/>
        <v>388188</v>
      </c>
      <c r="F41" s="267">
        <f t="shared" si="28"/>
        <v>384167</v>
      </c>
      <c r="G41" s="267">
        <f t="shared" si="28"/>
        <v>380146</v>
      </c>
      <c r="H41" s="267">
        <f t="shared" si="28"/>
        <v>376125</v>
      </c>
      <c r="I41" s="267">
        <f t="shared" si="28"/>
        <v>372104</v>
      </c>
      <c r="J41" s="267">
        <f t="shared" si="28"/>
        <v>368083</v>
      </c>
      <c r="K41" s="267">
        <f t="shared" si="28"/>
        <v>364062</v>
      </c>
      <c r="L41" s="267">
        <f t="shared" si="28"/>
        <v>360041</v>
      </c>
      <c r="M41" s="267">
        <f t="shared" si="28"/>
        <v>356020</v>
      </c>
      <c r="N41" s="267">
        <f t="shared" si="28"/>
        <v>351999</v>
      </c>
      <c r="O41" s="267">
        <f t="shared" si="28"/>
        <v>347978</v>
      </c>
      <c r="P41" s="267">
        <f t="shared" si="28"/>
        <v>343957</v>
      </c>
      <c r="Q41" s="299">
        <f t="shared" si="27"/>
        <v>368083</v>
      </c>
      <c r="R41" s="299">
        <f t="shared" si="12"/>
        <v>8097.8259999999991</v>
      </c>
      <c r="S41" s="342"/>
    </row>
    <row r="42" spans="1:19" ht="31.5" x14ac:dyDescent="0.25">
      <c r="A42" s="258" t="s">
        <v>390</v>
      </c>
      <c r="B42" s="267" t="s">
        <v>386</v>
      </c>
      <c r="C42" s="267">
        <v>971628</v>
      </c>
      <c r="D42" s="267">
        <v>9117</v>
      </c>
      <c r="E42" s="267">
        <f t="shared" si="24"/>
        <v>962511</v>
      </c>
      <c r="F42" s="267">
        <f t="shared" si="28"/>
        <v>953394</v>
      </c>
      <c r="G42" s="267">
        <f t="shared" si="28"/>
        <v>944277</v>
      </c>
      <c r="H42" s="267">
        <f t="shared" si="28"/>
        <v>935160</v>
      </c>
      <c r="I42" s="267">
        <f t="shared" si="28"/>
        <v>926043</v>
      </c>
      <c r="J42" s="267">
        <f t="shared" si="28"/>
        <v>916926</v>
      </c>
      <c r="K42" s="267">
        <f t="shared" si="28"/>
        <v>907809</v>
      </c>
      <c r="L42" s="267">
        <f t="shared" si="28"/>
        <v>898692</v>
      </c>
      <c r="M42" s="267">
        <f t="shared" si="28"/>
        <v>889575</v>
      </c>
      <c r="N42" s="267">
        <f t="shared" si="28"/>
        <v>880458</v>
      </c>
      <c r="O42" s="267">
        <f t="shared" si="28"/>
        <v>871341</v>
      </c>
      <c r="P42" s="267">
        <f t="shared" si="28"/>
        <v>862224</v>
      </c>
      <c r="Q42" s="299">
        <f t="shared" si="27"/>
        <v>916926</v>
      </c>
      <c r="R42" s="299">
        <f t="shared" si="12"/>
        <v>20172.371999999999</v>
      </c>
      <c r="S42" s="342"/>
    </row>
    <row r="43" spans="1:19" s="68" customFormat="1" x14ac:dyDescent="0.25">
      <c r="A43" s="65"/>
      <c r="B43" s="66" t="s">
        <v>308</v>
      </c>
      <c r="C43" s="67">
        <f>SUM(C4:C42)</f>
        <v>6201368</v>
      </c>
      <c r="D43" s="67">
        <f t="shared" ref="D43:P43" si="29">SUM(D4:D42)</f>
        <v>63147</v>
      </c>
      <c r="E43" s="67">
        <f t="shared" si="29"/>
        <v>6138221</v>
      </c>
      <c r="F43" s="67">
        <f t="shared" si="29"/>
        <v>6075074</v>
      </c>
      <c r="G43" s="67">
        <f t="shared" si="29"/>
        <v>6011927</v>
      </c>
      <c r="H43" s="67">
        <f t="shared" si="29"/>
        <v>5948780</v>
      </c>
      <c r="I43" s="67">
        <f t="shared" si="29"/>
        <v>5885633</v>
      </c>
      <c r="J43" s="67">
        <f t="shared" si="29"/>
        <v>5822486</v>
      </c>
      <c r="K43" s="67">
        <f t="shared" si="29"/>
        <v>5759339</v>
      </c>
      <c r="L43" s="67">
        <f t="shared" si="29"/>
        <v>5700624</v>
      </c>
      <c r="M43" s="67">
        <f t="shared" si="29"/>
        <v>5642251</v>
      </c>
      <c r="N43" s="67">
        <f t="shared" si="29"/>
        <v>5583883</v>
      </c>
      <c r="O43" s="67">
        <f t="shared" si="29"/>
        <v>5525515</v>
      </c>
      <c r="P43" s="67">
        <f t="shared" si="29"/>
        <v>5467147</v>
      </c>
      <c r="Q43" s="67">
        <f t="shared" ref="Q43" si="30">SUM(Q4:Q42)</f>
        <v>5827865.230769231</v>
      </c>
      <c r="R43" s="67">
        <f t="shared" ref="R43" si="31">SUM(R4:R42)</f>
        <v>128213.03507692309</v>
      </c>
      <c r="S43" s="342"/>
    </row>
    <row r="44" spans="1:19" s="69" customFormat="1" ht="30" x14ac:dyDescent="0.25">
      <c r="A44" s="301"/>
      <c r="B44" s="302" t="s">
        <v>309</v>
      </c>
      <c r="C44" s="303">
        <f>C43*$D$49/100</f>
        <v>1571858.8784532805</v>
      </c>
      <c r="D44" s="303">
        <f t="shared" ref="D44:R44" si="32">D43*$D$49/100</f>
        <v>16005.851063457178</v>
      </c>
      <c r="E44" s="303">
        <f t="shared" si="32"/>
        <v>1555853.0273898235</v>
      </c>
      <c r="F44" s="303">
        <f t="shared" si="32"/>
        <v>1539847.1763263664</v>
      </c>
      <c r="G44" s="303">
        <f t="shared" si="32"/>
        <v>1523841.3252629093</v>
      </c>
      <c r="H44" s="303">
        <f t="shared" si="32"/>
        <v>1507835.4741994522</v>
      </c>
      <c r="I44" s="303">
        <f t="shared" si="32"/>
        <v>1491829.6231359947</v>
      </c>
      <c r="J44" s="303">
        <f t="shared" si="32"/>
        <v>1475823.7720725376</v>
      </c>
      <c r="K44" s="303">
        <f t="shared" si="32"/>
        <v>1459817.9210090805</v>
      </c>
      <c r="L44" s="303">
        <f t="shared" si="32"/>
        <v>1444935.447650237</v>
      </c>
      <c r="M44" s="303">
        <f t="shared" si="32"/>
        <v>1430139.6609283471</v>
      </c>
      <c r="N44" s="303">
        <f t="shared" si="32"/>
        <v>1415345.1415549505</v>
      </c>
      <c r="O44" s="303">
        <f t="shared" si="32"/>
        <v>1400550.6221815541</v>
      </c>
      <c r="P44" s="303">
        <f t="shared" si="32"/>
        <v>1385756.1028081574</v>
      </c>
      <c r="Q44" s="303">
        <f t="shared" si="32"/>
        <v>1477187.2440748224</v>
      </c>
      <c r="R44" s="303">
        <f t="shared" si="32"/>
        <v>32498.11936964609</v>
      </c>
      <c r="S44" s="342"/>
    </row>
    <row r="45" spans="1:19" s="69" customFormat="1" x14ac:dyDescent="0.25">
      <c r="A45" s="70"/>
      <c r="B45" s="71"/>
      <c r="C45" s="72"/>
      <c r="D45"/>
      <c r="E45"/>
      <c r="F45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3"/>
    </row>
    <row r="46" spans="1:19" s="69" customFormat="1" x14ac:dyDescent="0.25">
      <c r="A46" s="308" t="s">
        <v>320</v>
      </c>
      <c r="B46" s="308"/>
      <c r="C46" s="308"/>
      <c r="D46" s="13"/>
      <c r="E46" s="63"/>
      <c r="F46" s="63"/>
      <c r="G46"/>
      <c r="H46"/>
      <c r="I46"/>
      <c r="J46" s="72"/>
      <c r="K46" s="72"/>
      <c r="L46" s="72"/>
      <c r="M46" s="72"/>
      <c r="N46" s="72"/>
      <c r="O46" s="72"/>
      <c r="P46" s="72"/>
      <c r="Q46" s="72"/>
      <c r="R46" s="72"/>
      <c r="S46" s="73"/>
    </row>
    <row r="47" spans="1:19" s="69" customFormat="1" ht="38.25" x14ac:dyDescent="0.25">
      <c r="A47" s="56"/>
      <c r="B47" s="9"/>
      <c r="C47" s="111" t="s">
        <v>420</v>
      </c>
      <c r="D47" s="111" t="s">
        <v>421</v>
      </c>
      <c r="E47" s="63"/>
      <c r="F47" s="62"/>
      <c r="G47"/>
      <c r="H47"/>
      <c r="I47"/>
      <c r="J47" s="72"/>
      <c r="K47" s="72"/>
      <c r="L47" s="72"/>
      <c r="M47" s="72"/>
      <c r="N47" s="72"/>
      <c r="O47" s="72"/>
      <c r="P47" s="72"/>
      <c r="Q47" s="72"/>
      <c r="R47" s="72"/>
      <c r="S47" s="73"/>
    </row>
    <row r="48" spans="1:19" s="69" customFormat="1" ht="30" x14ac:dyDescent="0.25">
      <c r="A48" s="56">
        <v>1</v>
      </c>
      <c r="B48" s="109" t="s">
        <v>323</v>
      </c>
      <c r="C48" s="56">
        <v>85256</v>
      </c>
      <c r="D48" s="134">
        <f>D50-D49</f>
        <v>74.653030130556985</v>
      </c>
      <c r="E48" s="63"/>
      <c r="F48" s="62"/>
      <c r="G48"/>
      <c r="H48"/>
      <c r="I48"/>
      <c r="J48" s="72"/>
      <c r="K48" s="72"/>
      <c r="L48" s="72"/>
      <c r="M48" s="72"/>
      <c r="N48" s="72"/>
      <c r="O48" s="72"/>
      <c r="P48" s="72"/>
      <c r="Q48" s="72"/>
      <c r="R48" s="72"/>
      <c r="S48" s="73"/>
    </row>
    <row r="49" spans="1:19" s="69" customFormat="1" ht="30" x14ac:dyDescent="0.25">
      <c r="A49" s="56">
        <v>2</v>
      </c>
      <c r="B49" s="109" t="s">
        <v>324</v>
      </c>
      <c r="C49" s="56">
        <v>28947</v>
      </c>
      <c r="D49" s="134">
        <f>D50/C50*C49</f>
        <v>25.346969869443011</v>
      </c>
      <c r="E49" s="63"/>
      <c r="F49" s="62"/>
      <c r="G49"/>
      <c r="H49"/>
      <c r="I49"/>
      <c r="J49" s="72"/>
      <c r="K49" s="72"/>
      <c r="L49" s="72"/>
      <c r="M49" s="72"/>
      <c r="N49" s="72"/>
      <c r="O49" s="72"/>
      <c r="P49" s="72"/>
      <c r="Q49" s="72"/>
      <c r="R49" s="72"/>
      <c r="S49" s="73"/>
    </row>
    <row r="50" spans="1:19" s="69" customFormat="1" x14ac:dyDescent="0.25">
      <c r="A50" s="56">
        <v>3</v>
      </c>
      <c r="B50" s="112" t="s">
        <v>325</v>
      </c>
      <c r="C50" s="135">
        <v>114203</v>
      </c>
      <c r="D50" s="133">
        <v>100</v>
      </c>
      <c r="E50" s="63"/>
      <c r="F50" s="62"/>
      <c r="G50"/>
      <c r="H50"/>
      <c r="I50"/>
      <c r="J50" s="72"/>
      <c r="K50" s="72"/>
      <c r="L50" s="72"/>
      <c r="M50" s="72"/>
      <c r="N50" s="72"/>
      <c r="O50" s="72"/>
      <c r="P50" s="72"/>
      <c r="Q50" s="72"/>
      <c r="R50" s="72"/>
      <c r="S50" s="73"/>
    </row>
    <row r="51" spans="1:19" s="69" customFormat="1" x14ac:dyDescent="0.25">
      <c r="A51" s="61"/>
      <c r="B51" s="61"/>
      <c r="C51" s="62"/>
      <c r="D51" s="63"/>
      <c r="E51" s="63"/>
      <c r="F51" s="63"/>
      <c r="G51"/>
      <c r="H51"/>
      <c r="I51"/>
      <c r="J51" s="72"/>
      <c r="K51" s="72"/>
      <c r="L51" s="72"/>
      <c r="M51" s="72"/>
      <c r="N51" s="72"/>
      <c r="O51" s="72"/>
      <c r="P51" s="72"/>
      <c r="Q51" s="72"/>
      <c r="R51" s="72"/>
      <c r="S51" s="73"/>
    </row>
    <row r="52" spans="1:19" x14ac:dyDescent="0.25">
      <c r="B52" s="43" t="s">
        <v>173</v>
      </c>
      <c r="C52" s="20"/>
      <c r="D52" s="17"/>
      <c r="F52" s="19" t="s">
        <v>174</v>
      </c>
    </row>
    <row r="53" spans="1:19" x14ac:dyDescent="0.25">
      <c r="B53" s="44" t="s">
        <v>175</v>
      </c>
      <c r="C53" s="21"/>
      <c r="D53" s="14" t="s">
        <v>177</v>
      </c>
      <c r="F53" s="18" t="s">
        <v>176</v>
      </c>
    </row>
    <row r="55" spans="1:19" x14ac:dyDescent="0.25">
      <c r="B55" s="13" t="s">
        <v>196</v>
      </c>
    </row>
  </sheetData>
  <autoFilter ref="A3:S3"/>
  <mergeCells count="3">
    <mergeCell ref="A1:R1"/>
    <mergeCell ref="S4:S44"/>
    <mergeCell ref="A46:C46"/>
  </mergeCells>
  <printOptions horizontalCentered="1" verticalCentered="1"/>
  <pageMargins left="0.11811023622047245" right="0.11811023622047245" top="0.74803149606299213" bottom="0.15748031496062992" header="0.31496062992125984" footer="0.31496062992125984"/>
  <pageSetup paperSize="9" scale="4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C2" sqref="C2:C4"/>
    </sheetView>
  </sheetViews>
  <sheetFormatPr defaultRowHeight="15" x14ac:dyDescent="0.25"/>
  <cols>
    <col min="1" max="1" width="22.42578125" customWidth="1"/>
    <col min="2" max="2" width="21.42578125" customWidth="1"/>
    <col min="3" max="3" width="23.85546875" customWidth="1"/>
  </cols>
  <sheetData>
    <row r="1" spans="1:3" s="13" customFormat="1" x14ac:dyDescent="0.25">
      <c r="B1" s="13">
        <v>2016</v>
      </c>
      <c r="C1" s="13">
        <v>2018</v>
      </c>
    </row>
    <row r="2" spans="1:3" x14ac:dyDescent="0.25">
      <c r="A2" s="15" t="s">
        <v>7</v>
      </c>
      <c r="B2" s="121">
        <f>B3</f>
        <v>6952.2645599999996</v>
      </c>
      <c r="C2" s="117"/>
    </row>
    <row r="3" spans="1:3" x14ac:dyDescent="0.25">
      <c r="A3" s="9" t="s">
        <v>170</v>
      </c>
      <c r="B3" s="122">
        <v>6952.2645599999996</v>
      </c>
      <c r="C3" s="119"/>
    </row>
    <row r="4" spans="1:3" ht="78.75" x14ac:dyDescent="0.25">
      <c r="A4" s="123" t="s">
        <v>172</v>
      </c>
      <c r="B4" s="122">
        <v>47012.622479999998</v>
      </c>
      <c r="C4" s="95"/>
    </row>
  </sheetData>
  <pageMargins left="0.70866141732283472" right="0.70866141732283472" top="0.15748031496062992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1.16</vt:lpstr>
      <vt:lpstr>1.15</vt:lpstr>
      <vt:lpstr>1.18.2</vt:lpstr>
      <vt:lpstr>расшифровки_2п2017</vt:lpstr>
      <vt:lpstr>расшифровки_2018</vt:lpstr>
      <vt:lpstr>амортизация на 2п17</vt:lpstr>
      <vt:lpstr>амортизация на 18</vt:lpstr>
      <vt:lpstr>налог_имущ_на 18</vt:lpstr>
      <vt:lpstr>Лист1</vt:lpstr>
      <vt:lpstr>'1.15'!Область_печати</vt:lpstr>
      <vt:lpstr>'1.16'!Область_печати</vt:lpstr>
      <vt:lpstr>'1.18.2'!Область_печати</vt:lpstr>
      <vt:lpstr>'амортизация на 18'!Область_печати</vt:lpstr>
      <vt:lpstr>'амортизация на 2п17'!Область_печати</vt:lpstr>
      <vt:lpstr>расшифровки_2018!Область_печати</vt:lpstr>
      <vt:lpstr>расшифровки_2п2017!Область_печати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Kosarev</dc:creator>
  <cp:lastModifiedBy>Kosarev</cp:lastModifiedBy>
  <cp:lastPrinted>2017-04-28T09:12:33Z</cp:lastPrinted>
  <dcterms:created xsi:type="dcterms:W3CDTF">2015-04-26T07:47:22Z</dcterms:created>
  <dcterms:modified xsi:type="dcterms:W3CDTF">2017-04-28T14:14:00Z</dcterms:modified>
</cp:coreProperties>
</file>